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firstSheet="20" activeTab="25"/>
  </bookViews>
  <sheets>
    <sheet name="XVII" sheetId="1" r:id="rId1"/>
    <sheet name="XVI" sheetId="2" r:id="rId2"/>
    <sheet name="XV" sheetId="3" r:id="rId3"/>
    <sheet name="XIV" sheetId="4" r:id="rId4"/>
    <sheet name="XIII" sheetId="5" r:id="rId5"/>
    <sheet name="XII" sheetId="6" r:id="rId6"/>
    <sheet name="XI" sheetId="7" r:id="rId7"/>
    <sheet name="X" sheetId="8" r:id="rId8"/>
    <sheet name="IX" sheetId="9" r:id="rId9"/>
    <sheet name="VIII" sheetId="10" r:id="rId10"/>
    <sheet name="VII" sheetId="11" r:id="rId11"/>
    <sheet name="VI" sheetId="12" r:id="rId12"/>
    <sheet name="V" sheetId="13" r:id="rId13"/>
    <sheet name="IV" sheetId="14" r:id="rId14"/>
    <sheet name="III" sheetId="15" r:id="rId15"/>
    <sheet name="II" sheetId="16" r:id="rId16"/>
    <sheet name="I" sheetId="17" r:id="rId17"/>
    <sheet name="RESUMEN" sheetId="18" r:id="rId18"/>
    <sheet name="MORAL Max" sheetId="19" r:id="rId19"/>
    <sheet name="MORAL min" sheetId="20" r:id="rId20"/>
    <sheet name="A.PESADO" sheetId="21" r:id="rId21"/>
    <sheet name="A.RAPIDO" sheetId="22" r:id="rId22"/>
    <sheet name="ELITE" sheetId="23" r:id="rId23"/>
    <sheet name="LINEA" sheetId="24" r:id="rId24"/>
    <sheet name="CUARTEL GENERAL" sheetId="25" r:id="rId25"/>
    <sheet name="Instrucciones" sheetId="26" r:id="rId26"/>
  </sheets>
  <definedNames/>
  <calcPr fullCalcOnLoad="1"/>
</workbook>
</file>

<file path=xl/sharedStrings.xml><?xml version="1.0" encoding="utf-8"?>
<sst xmlns="http://schemas.openxmlformats.org/spreadsheetml/2006/main" count="3001" uniqueCount="655">
  <si>
    <t>Factor</t>
  </si>
  <si>
    <t>TOTAL</t>
  </si>
  <si>
    <t>MOVILIDAD</t>
  </si>
  <si>
    <t>UNIDADES</t>
  </si>
  <si>
    <t>Vehículos rápidos y motos gravitatorio/as</t>
  </si>
  <si>
    <t>Vehículos rápidos, motos e infantería en transportes gravitatorios rápidos</t>
  </si>
  <si>
    <t>Retroreactores, retrocohetes, caballería e infantería en transportes rápidos</t>
  </si>
  <si>
    <t>Vehículos e infantería en vehículo transporte</t>
  </si>
  <si>
    <t>Infantería</t>
  </si>
  <si>
    <t>Infantería con avance sistemático, artillería</t>
  </si>
  <si>
    <t>Tabla 1. Factores de movilidad de las unidades</t>
  </si>
  <si>
    <t>Ejército:</t>
  </si>
  <si>
    <t>Cuartel General</t>
  </si>
  <si>
    <t>Tropa de linea</t>
  </si>
  <si>
    <t>Elite</t>
  </si>
  <si>
    <t>Ataque Rápido</t>
  </si>
  <si>
    <t>Apoyo Pesado</t>
  </si>
  <si>
    <t>Angeles Oscuros (Compañías)</t>
  </si>
  <si>
    <t>Extras</t>
  </si>
  <si>
    <t>Infanteria</t>
  </si>
  <si>
    <t>Vehiculos</t>
  </si>
  <si>
    <t>CÁLCULO DE LA MOVILIDAD DEL EJÉRCITO</t>
  </si>
  <si>
    <t>CÁLCULO DE LA PROTECCIÓN POR ARMADURA DEL EJÉRCITO</t>
  </si>
  <si>
    <t>2+</t>
  </si>
  <si>
    <t>3+</t>
  </si>
  <si>
    <t>4+</t>
  </si>
  <si>
    <t>5+</t>
  </si>
  <si>
    <t>6+</t>
  </si>
  <si>
    <t>-</t>
  </si>
  <si>
    <t>CÁLCULO DE LA RESISTENCIA DEL EJÉRCITO</t>
  </si>
  <si>
    <t>RESISTENCIA</t>
  </si>
  <si>
    <t>CÁLCULO DEL BLINDAJE DEL EJÉRCITO</t>
  </si>
  <si>
    <t>Superior</t>
  </si>
  <si>
    <t>38-39</t>
  </si>
  <si>
    <t>36-37</t>
  </si>
  <si>
    <t>34-35</t>
  </si>
  <si>
    <t>32-33</t>
  </si>
  <si>
    <t>30-31</t>
  </si>
  <si>
    <t>Inferior</t>
  </si>
  <si>
    <t>*Las miniaturas con algún tipo de regla adicional (holopantalla, pantalla de sombras, blindaje orgánico, casco santificado, venerable) se clasifican en el tipo inmediatamente superior a su blindaje.</t>
  </si>
  <si>
    <t>*Los vehículos descubiertos se clasifican en el tipo inmediatamente inferior a su blindaje.</t>
  </si>
  <si>
    <t>CÁLCULO DEL NÚMERO DEL EJÉRCITO</t>
  </si>
  <si>
    <t>ARMADURA</t>
  </si>
  <si>
    <t>INVULNERABLE</t>
  </si>
  <si>
    <t>BLINDAJE</t>
  </si>
  <si>
    <t>NÚMERO</t>
  </si>
  <si>
    <t>MINIATURAS</t>
  </si>
  <si>
    <t>1. Equivalencia para armas de cadencia especial</t>
  </si>
  <si>
    <t>Plantillas</t>
  </si>
  <si>
    <t>Area</t>
  </si>
  <si>
    <t>Area grande</t>
  </si>
  <si>
    <t>Fuego rapido</t>
  </si>
  <si>
    <t>Nºdisparos equivalentes</t>
  </si>
  <si>
    <t>1.5</t>
  </si>
  <si>
    <t>2a. Rango estatico</t>
  </si>
  <si>
    <t>2b. Rango dinamico</t>
  </si>
  <si>
    <t>3. Factor para la dificultad de herir</t>
  </si>
  <si>
    <t>(no tiene en cuenta la capacidad de movimiento)</t>
  </si>
  <si>
    <t>(se tiene en cuenta la capacidad de movimiento)</t>
  </si>
  <si>
    <t>Rango estatico</t>
  </si>
  <si>
    <t>Rango dinamico</t>
  </si>
  <si>
    <t>Fuerza</t>
  </si>
  <si>
    <t>alcance (cm)</t>
  </si>
  <si>
    <t>factor</t>
  </si>
  <si>
    <t>7+,hiere 2+ (y repite)</t>
  </si>
  <si>
    <t>180+</t>
  </si>
  <si>
    <t>6 (y repite)</t>
  </si>
  <si>
    <t>hiere 3+ (y repite)</t>
  </si>
  <si>
    <t>7+, hiere 2+</t>
  </si>
  <si>
    <t>5 (y repite)</t>
  </si>
  <si>
    <t>hiere 4+ (y repite)</t>
  </si>
  <si>
    <t>4 (y repite)</t>
  </si>
  <si>
    <t>hiere 3+</t>
  </si>
  <si>
    <t>plantilla</t>
  </si>
  <si>
    <t>0.5</t>
  </si>
  <si>
    <t>no dispara</t>
  </si>
  <si>
    <t>3 (y repite)</t>
  </si>
  <si>
    <t>Armas de fuego rapido bajan un nivel de rango</t>
  </si>
  <si>
    <t>30+plantilla</t>
  </si>
  <si>
    <t>hiere 4+</t>
  </si>
  <si>
    <t>2 (y repite)</t>
  </si>
  <si>
    <t>15+plantilla</t>
  </si>
  <si>
    <t>1 (y repite)</t>
  </si>
  <si>
    <t>4. Factores de probabilidad de impacto</t>
  </si>
  <si>
    <t>4a. Tiros directos</t>
  </si>
  <si>
    <t>4b. Tiros de area</t>
  </si>
  <si>
    <t>HP</t>
  </si>
  <si>
    <t>5 acop, auto</t>
  </si>
  <si>
    <t>10 acoplado</t>
  </si>
  <si>
    <t>9 acop</t>
  </si>
  <si>
    <t>9, 5 acop</t>
  </si>
  <si>
    <t>8 acop</t>
  </si>
  <si>
    <t>7, 4 acop</t>
  </si>
  <si>
    <t>7 acop</t>
  </si>
  <si>
    <t>3 acop</t>
  </si>
  <si>
    <t>6 acop</t>
  </si>
  <si>
    <t>2 acop</t>
  </si>
  <si>
    <t>5 acop</t>
  </si>
  <si>
    <t>4 acop</t>
  </si>
  <si>
    <t>1 acoplado</t>
  </si>
  <si>
    <t>4c. Tiros de area grande</t>
  </si>
  <si>
    <t>4d. Tiros de area con sobrecalentamiento</t>
  </si>
  <si>
    <t>10 acp</t>
  </si>
  <si>
    <t>9 acp</t>
  </si>
  <si>
    <t>8 acp</t>
  </si>
  <si>
    <t>7 acp</t>
  </si>
  <si>
    <t>6 acp</t>
  </si>
  <si>
    <t>5 acp</t>
  </si>
  <si>
    <t>4 acp</t>
  </si>
  <si>
    <t>3 acp</t>
  </si>
  <si>
    <t>2 acp</t>
  </si>
  <si>
    <t>1 acp</t>
  </si>
  <si>
    <t>cañon laser</t>
  </si>
  <si>
    <t>pistola bolter</t>
  </si>
  <si>
    <t>Factor HP</t>
  </si>
  <si>
    <t>Rango Dinamico</t>
  </si>
  <si>
    <t>Contribución</t>
  </si>
  <si>
    <t>Daño</t>
  </si>
  <si>
    <t>Factor Fza</t>
  </si>
  <si>
    <t>Tiros</t>
  </si>
  <si>
    <t>miniatura</t>
  </si>
  <si>
    <t>Total</t>
  </si>
  <si>
    <t>bolter de asalto</t>
  </si>
  <si>
    <t>Cañón automatico</t>
  </si>
  <si>
    <t>Armas</t>
  </si>
  <si>
    <t>cañon laser acoplado</t>
  </si>
  <si>
    <t>POTENCIA DE FUEGO</t>
  </si>
  <si>
    <t>FP</t>
  </si>
  <si>
    <t>FP1</t>
  </si>
  <si>
    <t>FP2</t>
  </si>
  <si>
    <t>FP3</t>
  </si>
  <si>
    <t>FP4</t>
  </si>
  <si>
    <t>FP5</t>
  </si>
  <si>
    <t>FP6</t>
  </si>
  <si>
    <t>%</t>
  </si>
  <si>
    <t>FAP</t>
  </si>
  <si>
    <t>RANGO EST</t>
  </si>
  <si>
    <t>RANGO DIN</t>
  </si>
  <si>
    <t xml:space="preserve"> %FP1</t>
  </si>
  <si>
    <t>%FP2</t>
  </si>
  <si>
    <t>%FP3</t>
  </si>
  <si>
    <t>%FP4</t>
  </si>
  <si>
    <t>%FP5</t>
  </si>
  <si>
    <t>%FP6</t>
  </si>
  <si>
    <t>%NO FP</t>
  </si>
  <si>
    <t>CÁLCULO DE LA POTENCIA DE FUEGO ANTITANQUE LIGERO DEL EJÉRCITO</t>
  </si>
  <si>
    <t>a) Armas convencionales</t>
  </si>
  <si>
    <t>3. Factor para la dificultad de dañar</t>
  </si>
  <si>
    <t>b) Armas FP1</t>
  </si>
  <si>
    <t>c) Armas artillería</t>
  </si>
  <si>
    <t>d) Armas artillería FP1</t>
  </si>
  <si>
    <t>e) Armas de penetración 2D6</t>
  </si>
  <si>
    <t>f) Armas penetración 2D6 y FP1</t>
  </si>
  <si>
    <t>g) Armas aceradas</t>
  </si>
  <si>
    <t>*</t>
  </si>
  <si>
    <t>h) Cañon D</t>
  </si>
  <si>
    <t>i) Armas gauss</t>
  </si>
  <si>
    <t>CÁLCULO DE LA POTENCIA DE FUEGO ANTITANQUE PESADO DEL EJÉRCITO</t>
  </si>
  <si>
    <t>i) Armas tipo lanza</t>
  </si>
  <si>
    <t>ASALTO</t>
  </si>
  <si>
    <t>MORAL</t>
  </si>
  <si>
    <t>1. Factores para impactar</t>
  </si>
  <si>
    <t>HA</t>
  </si>
  <si>
    <t>a) Sin repetición</t>
  </si>
  <si>
    <t>b) Con Repetición</t>
  </si>
  <si>
    <t>2. Factor para la dificultad de herir</t>
  </si>
  <si>
    <t>Miniaturas</t>
  </si>
  <si>
    <t>Ataques</t>
  </si>
  <si>
    <t>x miniatura</t>
  </si>
  <si>
    <t>Martillo del trueno</t>
  </si>
  <si>
    <t>Factor HA</t>
  </si>
  <si>
    <t>Energia</t>
  </si>
  <si>
    <t>% ENERG</t>
  </si>
  <si>
    <t>%Energia</t>
  </si>
  <si>
    <t>Iniciativa</t>
  </si>
  <si>
    <t>Contrib.</t>
  </si>
  <si>
    <t>x Miniat.</t>
  </si>
  <si>
    <t>INICIATIVA</t>
  </si>
  <si>
    <t xml:space="preserve">TOTAL </t>
  </si>
  <si>
    <t>Sin repetición</t>
  </si>
  <si>
    <t>Con repeticion</t>
  </si>
  <si>
    <t>b) Armas aceradas</t>
  </si>
  <si>
    <t>hiere 2+</t>
  </si>
  <si>
    <t>d) Armas envenenadas</t>
  </si>
  <si>
    <t>2. Factor para la dificultad de dañar</t>
  </si>
  <si>
    <t>b) Armas de penetración 2d6</t>
  </si>
  <si>
    <t>Puño de combate para dreadnough</t>
  </si>
  <si>
    <t>1. FASE DE DISPARO</t>
  </si>
  <si>
    <t>2. FASE DE ASALTO</t>
  </si>
  <si>
    <t>Liderazgo</t>
  </si>
  <si>
    <t>Coraje /  Vehículos</t>
  </si>
  <si>
    <t>b) Granadas</t>
  </si>
  <si>
    <t>a) Liderazgo modificable</t>
  </si>
  <si>
    <t>b) Testarudos (Liderazgo no modificable)</t>
  </si>
  <si>
    <t>Unidad</t>
  </si>
  <si>
    <t>Disparo</t>
  </si>
  <si>
    <t xml:space="preserve"> Factor</t>
  </si>
  <si>
    <t>Asalto</t>
  </si>
  <si>
    <t>DISPARO</t>
  </si>
  <si>
    <t>Máxima</t>
  </si>
  <si>
    <t>Mínima</t>
  </si>
  <si>
    <t>CÁLCULO DE LA MORAL (mínima) DEL EJÉRCITO</t>
  </si>
  <si>
    <t>CÁLCULO DEL POTENCIAL TOTAL DEL EJÉRCITO</t>
  </si>
  <si>
    <t>vs INFANTERIA LIGERA</t>
  </si>
  <si>
    <t>vs INFANTERIA PESADA</t>
  </si>
  <si>
    <t>vs TANQUE LIGERO</t>
  </si>
  <si>
    <t>vs TANQUE PESADO</t>
  </si>
  <si>
    <t>vs BIPODES LIGEROS</t>
  </si>
  <si>
    <t>vs BIPODES PESADOS</t>
  </si>
  <si>
    <t>CAS IL</t>
  </si>
  <si>
    <t>CAS BL</t>
  </si>
  <si>
    <t>CAS BP</t>
  </si>
  <si>
    <t>CAS VL</t>
  </si>
  <si>
    <t>vs VEHICULO LIGERO</t>
  </si>
  <si>
    <t>vs VEHICULO PESADO</t>
  </si>
  <si>
    <t>Coste</t>
  </si>
  <si>
    <t>I</t>
  </si>
  <si>
    <t>II</t>
  </si>
  <si>
    <t>III</t>
  </si>
  <si>
    <t>IV</t>
  </si>
  <si>
    <t>V</t>
  </si>
  <si>
    <t>VI</t>
  </si>
  <si>
    <t>VII</t>
  </si>
  <si>
    <t>Movilidad</t>
  </si>
  <si>
    <t>Tipo I</t>
  </si>
  <si>
    <t>Tipo II</t>
  </si>
  <si>
    <t>Tipo III</t>
  </si>
  <si>
    <t>Tipo IV</t>
  </si>
  <si>
    <t>Tipo V</t>
  </si>
  <si>
    <t>Tipo VI</t>
  </si>
  <si>
    <t>Vehículos de artillería, bípodes, criaturas monstruosas e infantería con algún tipo de despliegue especial (despliegue rápido / infiltración / exploradores)</t>
  </si>
  <si>
    <t>Con No Hay Dolor</t>
  </si>
  <si>
    <t>Con repetición</t>
  </si>
  <si>
    <t>Número de miniaturas con Armadura</t>
  </si>
  <si>
    <t>Número de miniaturas con Invulnerable</t>
  </si>
  <si>
    <t>Número de miniaturas con Resistencia</t>
  </si>
  <si>
    <t>8 ó +</t>
  </si>
  <si>
    <t>2 ó -</t>
  </si>
  <si>
    <t>Número de miniaturas con Blindaje</t>
  </si>
  <si>
    <t>40 ó +</t>
  </si>
  <si>
    <t>NOTAS:</t>
  </si>
  <si>
    <t>NÚMERO DE MINIATURAS</t>
  </si>
  <si>
    <t>NÚMERO DE UNIDADES</t>
  </si>
  <si>
    <t>*Los ejércitos con más de 100 miniaturas tienen automáticamente un factor 5 para el "Numero de miniaturas". Este valor debe insertarse manualmente en su celda, ya que ningún parámetro puede ser superior a este valor.</t>
  </si>
  <si>
    <t>c) Arm aceradas a 4+</t>
  </si>
  <si>
    <t>Máximo</t>
  </si>
  <si>
    <t>Mínimo</t>
  </si>
  <si>
    <t xml:space="preserve">Número de unidades </t>
  </si>
  <si>
    <t>Azrael</t>
  </si>
  <si>
    <t>Ezekiel</t>
  </si>
  <si>
    <t>Belial</t>
  </si>
  <si>
    <t>Martillo</t>
  </si>
  <si>
    <t>Cuchillas</t>
  </si>
  <si>
    <t>Sammael</t>
  </si>
  <si>
    <t>Moto a reacción</t>
  </si>
  <si>
    <t>Speeder</t>
  </si>
  <si>
    <t>Número</t>
  </si>
  <si>
    <t>Señor</t>
  </si>
  <si>
    <t>Pistola bolter</t>
  </si>
  <si>
    <t>Bolter de asalto</t>
  </si>
  <si>
    <t>Combiplasma</t>
  </si>
  <si>
    <t>Combi fusión</t>
  </si>
  <si>
    <t>Combi lanzallamas</t>
  </si>
  <si>
    <t>Bolter</t>
  </si>
  <si>
    <t>Espada</t>
  </si>
  <si>
    <t>Espada sierra</t>
  </si>
  <si>
    <t>Arma de energía</t>
  </si>
  <si>
    <t>Puño de combate</t>
  </si>
  <si>
    <t>Cuchilla relámpago</t>
  </si>
  <si>
    <t>2 Cuchillas relámpago</t>
  </si>
  <si>
    <t>PERSONAJES NO ESPECIALES</t>
  </si>
  <si>
    <t>PERSONAJES ESPECIALES</t>
  </si>
  <si>
    <t>Capellán</t>
  </si>
  <si>
    <t>Capellán Interrogador</t>
  </si>
  <si>
    <t>Pistola de plasma</t>
  </si>
  <si>
    <t>Crozius arcanum</t>
  </si>
  <si>
    <t>Motocicleta (bolter acop)</t>
  </si>
  <si>
    <t>Bibliotecario</t>
  </si>
  <si>
    <t>ESCUADRA DE MANDO</t>
  </si>
  <si>
    <t>Marine espacial veterano</t>
  </si>
  <si>
    <t>Lanzallamas</t>
  </si>
  <si>
    <t>Rifle de fusión</t>
  </si>
  <si>
    <t>Rifle de plasma</t>
  </si>
  <si>
    <t>Portaestandarte del capítulo</t>
  </si>
  <si>
    <t>Portaestandarte del Ala de Muerte</t>
  </si>
  <si>
    <t>Portaestandarte del Ala de Cuervo</t>
  </si>
  <si>
    <t>ELITE</t>
  </si>
  <si>
    <t>ESCUADRA ALA DE MUERTE</t>
  </si>
  <si>
    <t>Lanzamisiles Ciclón</t>
  </si>
  <si>
    <t>Cañón de Asalto</t>
  </si>
  <si>
    <t>Lanzallamas pesado</t>
  </si>
  <si>
    <t>Puño sierra</t>
  </si>
  <si>
    <t>DREADNOUGHT</t>
  </si>
  <si>
    <t>Cañón de asalto</t>
  </si>
  <si>
    <t>Cañón de plasma</t>
  </si>
  <si>
    <t>Cañón de fusión</t>
  </si>
  <si>
    <t>Bolter pesado acoplado</t>
  </si>
  <si>
    <t>Cañón auto acoplado</t>
  </si>
  <si>
    <t>Cañón laser acoplado</t>
  </si>
  <si>
    <t>Lanzamisiles</t>
  </si>
  <si>
    <t>Sin arma</t>
  </si>
  <si>
    <t>Tecnomarine</t>
  </si>
  <si>
    <t>Servidor bolter pesado</t>
  </si>
  <si>
    <t>Servidor cañón fusión</t>
  </si>
  <si>
    <t>Servidor cañón plasma</t>
  </si>
  <si>
    <t>Arma de energía y servobrazo</t>
  </si>
  <si>
    <t>Servidor con servobrazo</t>
  </si>
  <si>
    <t>Exploradores</t>
  </si>
  <si>
    <t>Veteranos</t>
  </si>
  <si>
    <t>Bolter pesado</t>
  </si>
  <si>
    <t>Cañón laser</t>
  </si>
  <si>
    <t>LINEA</t>
  </si>
  <si>
    <t>ESCUADRA TÁCTICA</t>
  </si>
  <si>
    <t>Rhino</t>
  </si>
  <si>
    <t>Razorback</t>
  </si>
  <si>
    <t>Bolter en afuste</t>
  </si>
  <si>
    <t>Misil cazador</t>
  </si>
  <si>
    <t>Capsula de desembarco</t>
  </si>
  <si>
    <t>ATAQUE RÁPIDO</t>
  </si>
  <si>
    <t>ESCUADRA DE ASALTO</t>
  </si>
  <si>
    <t>ESCUADRÓN ALA DE CUERVO</t>
  </si>
  <si>
    <t>Bolter acoplado</t>
  </si>
  <si>
    <t>ESCUADRÓN DE APOYO DEL ALA DE CUERVO</t>
  </si>
  <si>
    <t>ESCUADRA DEVASTADORES</t>
  </si>
  <si>
    <t>APOYO PESADO</t>
  </si>
  <si>
    <t>Land Raider</t>
  </si>
  <si>
    <t>Land Raider Cruzado</t>
  </si>
  <si>
    <t>Armamento basico*</t>
  </si>
  <si>
    <t>Armamento básico incluye:</t>
  </si>
  <si>
    <t>2 Bolter huracán, cañones asalto acoplado y cañón de fusión</t>
  </si>
  <si>
    <t>Bolter pesado acoplado, 2 cañones laser asoplados</t>
  </si>
  <si>
    <t>Predator</t>
  </si>
  <si>
    <t>Whirlwind</t>
  </si>
  <si>
    <t>Lanzamisiles Wwind</t>
  </si>
  <si>
    <t>Vindicator</t>
  </si>
  <si>
    <t>Cañón demolisher</t>
  </si>
  <si>
    <t>Pistola bolter y bolter de asalto</t>
  </si>
  <si>
    <t>Pistola bolter y combiplasma</t>
  </si>
  <si>
    <t>Pistola bolter y combi fusión</t>
  </si>
  <si>
    <t>Pistola bolter y combi lanzallamas</t>
  </si>
  <si>
    <t>Pistola plasma y bolter de asalto</t>
  </si>
  <si>
    <t>Pistola plasma y combiplasma</t>
  </si>
  <si>
    <t>Pistola plasma y combi fusión</t>
  </si>
  <si>
    <t>Pistola plasma y combi lanzallamas</t>
  </si>
  <si>
    <t>Espada sierra y bomba fusión</t>
  </si>
  <si>
    <t>Arma de energía y bomba fusión</t>
  </si>
  <si>
    <t>Puño de combate y bomba fusión</t>
  </si>
  <si>
    <t>Cuchilla relámpago y bomba fusión</t>
  </si>
  <si>
    <t>2 Cuchillas relámpago y bomba fusión</t>
  </si>
  <si>
    <t>Martillo del trueno y bomba fusión</t>
  </si>
  <si>
    <t>Motocicleta y bolter de asalto</t>
  </si>
  <si>
    <t>Motocicleta y combiplasma</t>
  </si>
  <si>
    <t>Motocicleta y combi fusión</t>
  </si>
  <si>
    <t>Motocicleta y combi lanzallamas</t>
  </si>
  <si>
    <t>Crozius y bomba de fusión</t>
  </si>
  <si>
    <t>Pistola bolter y bolter</t>
  </si>
  <si>
    <t>Pistola de plasma y bolter</t>
  </si>
  <si>
    <t>Pistola bolter y lanzallamas</t>
  </si>
  <si>
    <t>Pistola bolter y rifle de fusión</t>
  </si>
  <si>
    <t>Pistola bolter y rifle de plasma</t>
  </si>
  <si>
    <t>Pistola plasma y lanzallamas</t>
  </si>
  <si>
    <t>Pistola plasma y rifle de fusión</t>
  </si>
  <si>
    <t>Pistola plasma y rifle de plasma</t>
  </si>
  <si>
    <t>Bolter y lanzallamas</t>
  </si>
  <si>
    <t>Bolter y rifle de fusión</t>
  </si>
  <si>
    <t>Bolter y rifle de plasma</t>
  </si>
  <si>
    <t>Bolter de asalto y Lanzamisiles ciclón</t>
  </si>
  <si>
    <t>Pistola bolter y servoarnés</t>
  </si>
  <si>
    <t>Pistola de plasma y servoarnés</t>
  </si>
  <si>
    <t>Bolter y servoarnés</t>
  </si>
  <si>
    <t>Arma de energía y servoarnés</t>
  </si>
  <si>
    <t>Pistola de plasma y bolter de asalto</t>
  </si>
  <si>
    <t>Bolter y bolter de asalto</t>
  </si>
  <si>
    <t>Pistola bolter y lanzallamas/combilanzallamas</t>
  </si>
  <si>
    <t>Pistola bolter y rifle de fusión/combifusión</t>
  </si>
  <si>
    <t>Pistola bolter y rifle de plasma/combiplasma</t>
  </si>
  <si>
    <t>Pistola plasma y lanzallamas/combilanzallam</t>
  </si>
  <si>
    <t>Pistola plasma y rifle de fusión/combifusión</t>
  </si>
  <si>
    <t>Bolter y lanzallamas/combilanzallamas</t>
  </si>
  <si>
    <t>Bolter y rifle de fusión/combifusión</t>
  </si>
  <si>
    <t>Pistola bolter y bolter pesado</t>
  </si>
  <si>
    <t>Pistola bolter y cañón de fusión</t>
  </si>
  <si>
    <t>Pistola bolter y cañón de plasma</t>
  </si>
  <si>
    <t>Pistola bolter y lanzamisiles</t>
  </si>
  <si>
    <t>Pistola bolter y cañón laser</t>
  </si>
  <si>
    <t>Bolter y bolter pesado</t>
  </si>
  <si>
    <t>Bolter y cañón de fusión</t>
  </si>
  <si>
    <t>Bolter y cañón de plasma</t>
  </si>
  <si>
    <t>Bolter y lanzamisiles</t>
  </si>
  <si>
    <t>Bolter y cañón laser</t>
  </si>
  <si>
    <t>Pistola plasma y bolter pesado</t>
  </si>
  <si>
    <t>Pistola plasma y cañón de fusión</t>
  </si>
  <si>
    <t>Pistola plasma y cañón de plasma</t>
  </si>
  <si>
    <t>Pistola plasma y lanzamisiles</t>
  </si>
  <si>
    <t>Pistola plasma y cañón laser</t>
  </si>
  <si>
    <t>Pistola bolter y escopeta</t>
  </si>
  <si>
    <t>Pistola bolter y rifle de francotirador</t>
  </si>
  <si>
    <t>Pistola bolter y bolter acoplado</t>
  </si>
  <si>
    <t>Pistola de plasma y bolter acoplado</t>
  </si>
  <si>
    <t>Lanzallamas y bolter acoplado</t>
  </si>
  <si>
    <t>Rifle de fusión y bolter acoplado</t>
  </si>
  <si>
    <t>Rifle de plasma y bolter acoplado</t>
  </si>
  <si>
    <t>Cañón de fusión y bolter acoplado</t>
  </si>
  <si>
    <t>Bolter pesado y bolter acoplado</t>
  </si>
  <si>
    <t xml:space="preserve">Bolter pesado y cañón de asalto </t>
  </si>
  <si>
    <t>Cañón de fusión y cañón de asalto</t>
  </si>
  <si>
    <t>Bolter pesado y cañón de asalto</t>
  </si>
  <si>
    <t>Cañón de fusión y Lanzallamas pesado</t>
  </si>
  <si>
    <t>Bolter pesado y Lanzallamas pesado</t>
  </si>
  <si>
    <t>Cañón de fusión y lanzamisiles tifón</t>
  </si>
  <si>
    <t>Bolter pesado y lanzamisiles tifón</t>
  </si>
  <si>
    <t>Pistola bolter de precisión</t>
  </si>
  <si>
    <t>combiplasma</t>
  </si>
  <si>
    <t>combiplasma de precisión</t>
  </si>
  <si>
    <t xml:space="preserve">combifusión </t>
  </si>
  <si>
    <t>combilanzallamas</t>
  </si>
  <si>
    <t>Bolter /combi</t>
  </si>
  <si>
    <t>Bolter acoplado (motocicleta)</t>
  </si>
  <si>
    <t>Personajes HP5</t>
  </si>
  <si>
    <t>Retroreactores</t>
  </si>
  <si>
    <t>Escuadra de Mando HP4</t>
  </si>
  <si>
    <t>Vehículos</t>
  </si>
  <si>
    <t>Cañón de asalto acoplado</t>
  </si>
  <si>
    <t>Tipo II: Con retroreactores</t>
  </si>
  <si>
    <t>Tipo I: Sin retroreactores</t>
  </si>
  <si>
    <t>Escuadra Táctica</t>
  </si>
  <si>
    <t>rifle de plasma</t>
  </si>
  <si>
    <t>rifle de fusión</t>
  </si>
  <si>
    <t>Cañón plasma</t>
  </si>
  <si>
    <t>Cañón fusión</t>
  </si>
  <si>
    <t>Transportes</t>
  </si>
  <si>
    <t>Bolter asalto maquina</t>
  </si>
  <si>
    <t>Bolter asalto</t>
  </si>
  <si>
    <t xml:space="preserve">Dreadnought/Exterminadores </t>
  </si>
  <si>
    <t>pistola de plasma acoplada</t>
  </si>
  <si>
    <t>Servitor bolter pesado</t>
  </si>
  <si>
    <t>Servitor cañón de plasma</t>
  </si>
  <si>
    <t>Escopeta</t>
  </si>
  <si>
    <t>Rifle de francotirador</t>
  </si>
  <si>
    <t>Servitor cañón de fusión</t>
  </si>
  <si>
    <t>Bolter y rifle de plasma/combiplasma</t>
  </si>
  <si>
    <t>Pistola plasma y rifle de plasma/combiplasma</t>
  </si>
  <si>
    <t>pistola de plasma</t>
  </si>
  <si>
    <t>Escuadra de asalto</t>
  </si>
  <si>
    <t>Escuadrón Ala de Cuervo</t>
  </si>
  <si>
    <t>Escuadrón de apoyo del Ala de Cuervo</t>
  </si>
  <si>
    <t>Lanzamisiles tifón</t>
  </si>
  <si>
    <t>Escuadra Devastadores</t>
  </si>
  <si>
    <t>cañón laser</t>
  </si>
  <si>
    <t>Cañon de asalto acoplado</t>
  </si>
  <si>
    <t>Bolter huracán</t>
  </si>
  <si>
    <t>Whilrwind</t>
  </si>
  <si>
    <t>Demolisher</t>
  </si>
  <si>
    <t>Cañón automáticos y 2 cañones laser</t>
  </si>
  <si>
    <t>Cañón automático y 2 bolter pesados</t>
  </si>
  <si>
    <t>Cañón laser acoplado y 2 bolter pesados</t>
  </si>
  <si>
    <t>Cañón laser acoplado y 2 cañones laser</t>
  </si>
  <si>
    <t>CÁLCULO DE LA POTENCIA DE FUEGO ANTIINFANTERIA PESADA DEL EJÉRCITO</t>
  </si>
  <si>
    <t>CÁLCULO DE LA POTENCIA DE FUEGO ANTIINFANTERIA LIGERA DEL EJÉRCITO</t>
  </si>
  <si>
    <t>Rango Estatico (cm)</t>
  </si>
  <si>
    <t>Rango Dinamico (cm)</t>
  </si>
  <si>
    <t>Tipo I: Sin Estandarte</t>
  </si>
  <si>
    <t>Tipo II: Con Estandarte</t>
  </si>
  <si>
    <t>Escuadras:</t>
  </si>
  <si>
    <t>Escuadras de combate:</t>
  </si>
  <si>
    <t>Escuadrones:</t>
  </si>
  <si>
    <t>Escudo de combate</t>
  </si>
  <si>
    <t>Martillo del trueno y escudo tormenta</t>
  </si>
  <si>
    <t>=</t>
  </si>
  <si>
    <t>Escuadras/unidades</t>
  </si>
  <si>
    <t>Escuadras combate</t>
  </si>
  <si>
    <t>Tropa de linea y transportes</t>
  </si>
  <si>
    <t>Venerable</t>
  </si>
  <si>
    <t>Rsistencia 4</t>
  </si>
  <si>
    <t>Rsistencia 5</t>
  </si>
  <si>
    <t>Inv 4+</t>
  </si>
  <si>
    <t>Inv 5+</t>
  </si>
  <si>
    <t>Inv 4+ solo asalto</t>
  </si>
  <si>
    <t>Inv 5+ solo asalto</t>
  </si>
  <si>
    <t>Sin inv</t>
  </si>
  <si>
    <t>CÁLCULO DE LA PROTECCIÓN POR INVULNERABLE FRENTE DISPAROS DEL EJÉRCITO</t>
  </si>
  <si>
    <t>CÁLCULO DE LA PROTECCIÓN POR INVULNERABLE EN ASALTO DEL EJÉRCITO</t>
  </si>
  <si>
    <t>Sin inv solo disparo</t>
  </si>
  <si>
    <t>Retros</t>
  </si>
  <si>
    <t>Moto</t>
  </si>
  <si>
    <t>Transportados vehiculo</t>
  </si>
  <si>
    <t>Exterminador/capsula</t>
  </si>
  <si>
    <t>Escuadras en Land Raider:</t>
  </si>
  <si>
    <t>Escuadras en transporte:</t>
  </si>
  <si>
    <t>Escuadras en capsula:</t>
  </si>
  <si>
    <t>Garras relámpago</t>
  </si>
  <si>
    <t>Garra relámpago</t>
  </si>
  <si>
    <t>Arma de energía y pistola o arma cuerpo a cuerpo</t>
  </si>
  <si>
    <t>Ataque adicional de Precisión</t>
  </si>
  <si>
    <t>Arma psíquica</t>
  </si>
  <si>
    <t>Ataques sin precisión</t>
  </si>
  <si>
    <t>Personajes de infanteria en vehículo de transporte:</t>
  </si>
  <si>
    <t>Personajes de infanteria en capsula de desembarco:</t>
  </si>
  <si>
    <t>En escuadra con estandarte</t>
  </si>
  <si>
    <t>En escuadra sin estandarte</t>
  </si>
  <si>
    <t>Espada de energía</t>
  </si>
  <si>
    <t>Ataque adicional de precisión</t>
  </si>
  <si>
    <t>Crozius</t>
  </si>
  <si>
    <t>Puño</t>
  </si>
  <si>
    <t xml:space="preserve">Puño de combate </t>
  </si>
  <si>
    <t>Puño de combate y crozius</t>
  </si>
  <si>
    <t>Puño, crozius y bomba de fusión</t>
  </si>
  <si>
    <t>2 Cuchillas ry bomba fusión</t>
  </si>
  <si>
    <t>Cuchilla ry bomba fusión</t>
  </si>
  <si>
    <t>Martillo trueno y bomba fusión</t>
  </si>
  <si>
    <t>Puño combate y bomba fusión</t>
  </si>
  <si>
    <t>Tipo III: Sin estandarte del capítulo, Ala de Muerte o Cuervo</t>
  </si>
  <si>
    <t>Tipo IV: Con estandarte del capítulo, Ala de Muerte o Cuervo</t>
  </si>
  <si>
    <t xml:space="preserve">Capellán  </t>
  </si>
  <si>
    <t>Exterminador y arma psíquica</t>
  </si>
  <si>
    <t>Arma psìquica y pistola</t>
  </si>
  <si>
    <t>Arma, pistola y bomba  fusión</t>
  </si>
  <si>
    <t>Bibliotecario exterminador</t>
  </si>
  <si>
    <t>Sin arma/espada sierra</t>
  </si>
  <si>
    <t>Espada sierra y pistola</t>
  </si>
  <si>
    <t>Espada sierra, pistola y bomba fusión</t>
  </si>
  <si>
    <t>Sin arma/espada sierra y bomba fusión</t>
  </si>
  <si>
    <t>Arma de energía y pistola</t>
  </si>
  <si>
    <t>Arma de energía, pistola y bomba fusión</t>
  </si>
  <si>
    <t>Pistola bolter y/o combiplasma</t>
  </si>
  <si>
    <t>Pistola bolter y/o combi fusión</t>
  </si>
  <si>
    <t>Pistola bolter y/o combi lanzallamas</t>
  </si>
  <si>
    <t>Escuadra de Mando</t>
  </si>
  <si>
    <t>Espada y pistola</t>
  </si>
  <si>
    <t xml:space="preserve">Arma de energía </t>
  </si>
  <si>
    <t>Tipo III: Sin estandarte del capítulo</t>
  </si>
  <si>
    <t>Tipo IV: Con estandarte del capítulo</t>
  </si>
  <si>
    <t>Puño de combate y pistola</t>
  </si>
  <si>
    <t>Puño, pistola y bomba fusión</t>
  </si>
  <si>
    <t>Sin arma y bomba de fusión</t>
  </si>
  <si>
    <t>Arma y pistola</t>
  </si>
  <si>
    <t>Sargento sin arma</t>
  </si>
  <si>
    <t>Marine</t>
  </si>
  <si>
    <t xml:space="preserve">Dreadnought </t>
  </si>
  <si>
    <t>Exterminadores</t>
  </si>
  <si>
    <t>Arma Energía</t>
  </si>
  <si>
    <t>Cuchillas relámpago</t>
  </si>
  <si>
    <t xml:space="preserve">Puño de combate  </t>
  </si>
  <si>
    <t>Sargento con espada sierra y pistola</t>
  </si>
  <si>
    <t>Explorador sin arma</t>
  </si>
  <si>
    <t>Explorador con pistola y filoarma</t>
  </si>
  <si>
    <t>Explorador con dos armas</t>
  </si>
  <si>
    <t>Sargento sin armas</t>
  </si>
  <si>
    <t>Sargento con espada y pistola</t>
  </si>
  <si>
    <t xml:space="preserve">Sargento con arma de energía y pistola </t>
  </si>
  <si>
    <t xml:space="preserve">Sargento con puño de combate </t>
  </si>
  <si>
    <t>Sargento sin arma y bomba fusión</t>
  </si>
  <si>
    <t>Puño/servobrazo</t>
  </si>
  <si>
    <t>Servidores</t>
  </si>
  <si>
    <t>Servidores con servobrazo</t>
  </si>
  <si>
    <t>Arma de energía y `pistola</t>
  </si>
  <si>
    <t>Arma de energía, pistola y servobrazo</t>
  </si>
  <si>
    <t>Arma de energía, pistola y servoarnés</t>
  </si>
  <si>
    <t>Servoarnés</t>
  </si>
  <si>
    <t>Escudos de combate</t>
  </si>
  <si>
    <t>Escudos tormenta</t>
  </si>
  <si>
    <t>Sin arma o espada sierra</t>
  </si>
  <si>
    <t>Sin arma o espada sierra y bomba fusión</t>
  </si>
  <si>
    <t>Sargento con espada sierra</t>
  </si>
  <si>
    <t>Sgto. Espada sierra y bomba fusión</t>
  </si>
  <si>
    <t>Marine de asalto</t>
  </si>
  <si>
    <t>marine de asalto</t>
  </si>
  <si>
    <t>Unidades de Razorback:</t>
  </si>
  <si>
    <t>Unidades de Rhino:</t>
  </si>
  <si>
    <t>Unidades de Cápsula:</t>
  </si>
  <si>
    <t>Unidades de dreadnought:</t>
  </si>
  <si>
    <t>Escuadras de tecnomarines:</t>
  </si>
  <si>
    <t>Motos de ataque:</t>
  </si>
  <si>
    <t>Speeders:</t>
  </si>
  <si>
    <t>Sin arma/Espada sierra</t>
  </si>
  <si>
    <t>Sargento sin arma o espada sierra</t>
  </si>
  <si>
    <t>marine en moto</t>
  </si>
  <si>
    <t>Pistola bolter y Bolter</t>
  </si>
  <si>
    <t>CAS IP</t>
  </si>
  <si>
    <t>CÁLCULO DE LA POTENCIA DE ASALTO ANTIINFANTERIA  PESADA DEL EJÉRCITO</t>
  </si>
  <si>
    <t>CÁLCULO DE LA POTENCIA DE ASALTO ANTIINFANTERIA LIGERA DEL EJÉRCITO</t>
  </si>
  <si>
    <t>c) Armas aceradas</t>
  </si>
  <si>
    <t>CÁLCULO DE LA POTENCIA DE ASALTO ANTI VEHICULOS LIGEROS DEL EJÉRCITO</t>
  </si>
  <si>
    <t>Bomba de fusión (I4)</t>
  </si>
  <si>
    <t>Bomba de fusión (I5)</t>
  </si>
  <si>
    <t>CÁLCULO DE LA POTENCIA DE ASALTO ANTI BIPODES PESADOS DEL EJÉRCITO</t>
  </si>
  <si>
    <t>CÁLCULO DE LA POTENCIA DE ASALTO ANTI BIPODES LIGEROS DEL EJÉRCITO</t>
  </si>
  <si>
    <t>CÁLCULO DE LA POTENCIA DE ASALTO ANTI VEHICULOS PESADOS DEL EJÉRCITO</t>
  </si>
  <si>
    <t>Señores</t>
  </si>
  <si>
    <t>Capellanes</t>
  </si>
  <si>
    <t>Señor (Azrael, Belial,..) con escuadra con coraje</t>
  </si>
  <si>
    <t>Señor (Azrael, Belial,...) en escuadra sin coraje</t>
  </si>
  <si>
    <t>Personajes Exterminadores en Land Raider:</t>
  </si>
  <si>
    <t>Bibliotecario en escuadra sin coraje</t>
  </si>
  <si>
    <t>Bibliotecario en escuadra con coraje</t>
  </si>
  <si>
    <t>Con sargento veterano</t>
  </si>
  <si>
    <t>Sin sargento</t>
  </si>
  <si>
    <t>Con Señor en el campo de batalla</t>
  </si>
  <si>
    <t>Sin Señor en el campo de batalla</t>
  </si>
  <si>
    <t>Con sargento y con Bibliotecario asignado</t>
  </si>
  <si>
    <t>Sin sargento y con Bibliotecario asignado</t>
  </si>
  <si>
    <t>Con Coraje*</t>
  </si>
  <si>
    <t>Con sargento y con coraje*</t>
  </si>
  <si>
    <t>Sin sargento y con coraje*</t>
  </si>
  <si>
    <t>Escuadra de Exploradores</t>
  </si>
  <si>
    <t>Escuadra de Veteranos</t>
  </si>
  <si>
    <t>Sin coraje</t>
  </si>
  <si>
    <t>Con coraje*</t>
  </si>
  <si>
    <t>Escuadra de Asalto</t>
  </si>
  <si>
    <t>Escuadrón del Ala de Cuervo</t>
  </si>
  <si>
    <t>Escuadra de motos</t>
  </si>
  <si>
    <t>Moto de ataque</t>
  </si>
  <si>
    <t>Escuadra de devastadores</t>
  </si>
  <si>
    <t>Vehículos de apoyo (Land Raider, Predator, etc...)</t>
  </si>
  <si>
    <t>Unidades de Land Raider:</t>
  </si>
  <si>
    <t>Unidades de Predator:</t>
  </si>
  <si>
    <t>Unidades de Vindicator:</t>
  </si>
  <si>
    <t>Unidades de Whirlwind:</t>
  </si>
  <si>
    <t>APLICACIÓN PARA EL CÁLCULO DE LOS PARÁMETROS DEL EJÉRCITO</t>
  </si>
  <si>
    <t>INSTRUCCIONES GENERALES</t>
  </si>
  <si>
    <r>
      <t xml:space="preserve">Este fichero excel contiene 5 hojas correspondientes a las distintas unidades de un organigrama de ejército: Cuartel General, </t>
    </r>
    <r>
      <rPr>
        <b/>
        <sz val="14"/>
        <color indexed="12"/>
        <rFont val="Arial"/>
        <family val="2"/>
      </rPr>
      <t>Linea</t>
    </r>
    <r>
      <rPr>
        <b/>
        <sz val="14"/>
        <color indexed="9"/>
        <rFont val="Arial"/>
        <family val="2"/>
      </rPr>
      <t xml:space="preserve">, </t>
    </r>
    <r>
      <rPr>
        <b/>
        <sz val="14"/>
        <color indexed="52"/>
        <rFont val="Arial"/>
        <family val="2"/>
      </rPr>
      <t>Elite</t>
    </r>
    <r>
      <rPr>
        <b/>
        <sz val="14"/>
        <color indexed="9"/>
        <rFont val="Arial"/>
        <family val="2"/>
      </rPr>
      <t xml:space="preserve">, </t>
    </r>
    <r>
      <rPr>
        <b/>
        <sz val="14"/>
        <color indexed="17"/>
        <rFont val="Arial"/>
        <family val="2"/>
      </rPr>
      <t>Ataque Rápido</t>
    </r>
    <r>
      <rPr>
        <b/>
        <sz val="14"/>
        <color indexed="9"/>
        <rFont val="Arial"/>
        <family val="2"/>
      </rPr>
      <t xml:space="preserve"> y </t>
    </r>
    <r>
      <rPr>
        <b/>
        <sz val="14"/>
        <color indexed="10"/>
        <rFont val="Arial"/>
        <family val="2"/>
      </rPr>
      <t>Apoyo pesado</t>
    </r>
    <r>
      <rPr>
        <b/>
        <sz val="14"/>
        <color indexed="9"/>
        <rFont val="Arial"/>
        <family val="2"/>
      </rPr>
      <t xml:space="preserve">.                                                                                                                                                                                                        </t>
    </r>
  </si>
  <si>
    <t xml:space="preserve">En cada hoja se incluyen todas las unidades disponibles en el Códex Ángeles Oscuros.                                                                                                                                                                                                        </t>
  </si>
  <si>
    <r>
      <t xml:space="preserve">Rellenar las </t>
    </r>
    <r>
      <rPr>
        <b/>
        <sz val="14"/>
        <color indexed="52"/>
        <rFont val="Arial"/>
        <family val="2"/>
      </rPr>
      <t>casillas naranjas</t>
    </r>
    <r>
      <rPr>
        <b/>
        <sz val="14"/>
        <color indexed="9"/>
        <rFont val="Arial"/>
        <family val="2"/>
      </rPr>
      <t xml:space="preserve"> es indispensables SI QUIERO INCLUIR esa unidad. De no hacerlo el programa cometería errores.</t>
    </r>
  </si>
  <si>
    <r>
      <t xml:space="preserve">Las </t>
    </r>
    <r>
      <rPr>
        <b/>
        <sz val="14"/>
        <color indexed="41"/>
        <rFont val="Arial"/>
        <family val="2"/>
      </rPr>
      <t>casillas azules</t>
    </r>
    <r>
      <rPr>
        <b/>
        <sz val="14"/>
        <color indexed="9"/>
        <rFont val="Arial"/>
        <family val="2"/>
      </rPr>
      <t xml:space="preserve"> indican opciones de equipo de la unidad. Deben rellenarse con un número en aquellas que la unidad disponga. Por ejemplo: para una escuadra de exterminadores con 2 cuchillas relámpago, tengo que poner un 2 en la casilla correspondiente.</t>
    </r>
  </si>
  <si>
    <r>
      <t xml:space="preserve">1. ¿QUÉ DEBO HACER?   </t>
    </r>
    <r>
      <rPr>
        <b/>
        <sz val="14"/>
        <color indexed="16"/>
        <rFont val="Arial"/>
        <family val="2"/>
      </rPr>
      <t xml:space="preserve">                                                                                                                                                                                                    </t>
    </r>
  </si>
  <si>
    <r>
      <t xml:space="preserve">2. ¿POR QUÉ HAY CASILLAS MARCADA EN AZUL Y NARANJA?   </t>
    </r>
    <r>
      <rPr>
        <b/>
        <sz val="14"/>
        <color indexed="16"/>
        <rFont val="Arial"/>
        <family val="2"/>
      </rPr>
      <t xml:space="preserve">                                                                                                                                                                                                    </t>
    </r>
  </si>
  <si>
    <t xml:space="preserve">¡¡NUNCA MODIFIQUES O RELLENES UNA CASILLA NO MARCADA!!                                                                                                                                    </t>
  </si>
  <si>
    <r>
      <t xml:space="preserve">3. ¿CÓMO INDICO SI DISPONGO DE MÁS DE UNA ESCUADRA DEL MISMO TIPO?   </t>
    </r>
    <r>
      <rPr>
        <b/>
        <sz val="14"/>
        <color indexed="16"/>
        <rFont val="Arial"/>
        <family val="2"/>
      </rPr>
      <t xml:space="preserve">                                                                                                                                                                                                    </t>
    </r>
  </si>
  <si>
    <t>Es indiferente, el sistema sólo necesita saber el tipo de miniaturas con cada armamento, por lo que lo importante es saber el número total de miniaturas equipadas de igual forma en todo el ejército.</t>
  </si>
  <si>
    <t xml:space="preserve">¡¡REVISA CORRECTAMENTE LAS OPCIONES DE CADA UNIDAD PARA ASEGURARTE QUE ESTÁ INCLUIDO TODO EL ARMAMENTO/EQUIPO QUE DISPONE TU ESCUADRA/VEHÍCULO!!                                                                                                                                 </t>
  </si>
  <si>
    <r>
      <t xml:space="preserve">4. ¿POR QUÉ ALGUNAS UNIDADES TIENEN DOS COLUMNAS PARA EL MISMO ARMAMENTO?   </t>
    </r>
    <r>
      <rPr>
        <b/>
        <sz val="14"/>
        <color indexed="16"/>
        <rFont val="Arial"/>
        <family val="2"/>
      </rPr>
      <t xml:space="preserve">                                                                                                                                                                                                    </t>
    </r>
  </si>
  <si>
    <r>
      <t xml:space="preserve"> Por ejemplo: Si dispones de un capellán con retroreactores, debes marcar con un 1 aquella casilla de la columna </t>
    </r>
    <r>
      <rPr>
        <b/>
        <sz val="14"/>
        <color indexed="10"/>
        <rFont val="Arial"/>
        <family val="2"/>
      </rPr>
      <t xml:space="preserve">II </t>
    </r>
    <r>
      <rPr>
        <b/>
        <sz val="14"/>
        <color indexed="9"/>
        <rFont val="Arial"/>
        <family val="2"/>
      </rPr>
      <t>que corresponda a su armamento de disparo.</t>
    </r>
  </si>
  <si>
    <t>Es así para indicar diferente movilidad o ataques. Sólo debes rellenar con número aquella casilla de la columna correcta, de lo contrario el sistema pensará que dispones de otra unidad adicional.</t>
  </si>
  <si>
    <t xml:space="preserve"> Por ejemplo: Si tienes dos escuadras de exterminadores con 2 cuchillas relámpago en cada, tengo que poner un 4 en la casilla correspondiente a Exterminador con Garras Relámpago.</t>
  </si>
  <si>
    <r>
      <t xml:space="preserve">5. ¿POR QUÉ EXISTEN ALGUNAS CASILLAS QUE INDICAN OPCIONES DE TRANSPORTE O ASIGNAR PERSONAJES EN ESCUADRAS?   </t>
    </r>
    <r>
      <rPr>
        <b/>
        <sz val="14"/>
        <color indexed="16"/>
        <rFont val="Arial"/>
        <family val="2"/>
      </rPr>
      <t xml:space="preserve">                                                                                                                                                                                                    </t>
    </r>
  </si>
  <si>
    <t>Estas casillas sirven para calcular correctamente la movilidad, moral y otros parámetros del ejército que dependen de cómo distribuyas tus unidades. Debes poner el número que corresponda en cada caso si quieres hacer uso de ello.</t>
  </si>
  <si>
    <r>
      <t xml:space="preserve">6. ¿POR QUÉ EXISTEN PARA PERSONAJES UNICOS MAS DE UNA CASILLA?   </t>
    </r>
    <r>
      <rPr>
        <b/>
        <sz val="14"/>
        <color indexed="16"/>
        <rFont val="Arial"/>
        <family val="2"/>
      </rPr>
      <t xml:space="preserve">                                                                                                                                                                                                    </t>
    </r>
  </si>
  <si>
    <t>Estas casillas pueden indicar si un personaje está asignado a una escuadra con estandarte (lo que le aporta un ataque adicional) o una opción de equipo armamento específico. Sólo debes rellenar aquellas casillas que correspondan a tu elección.</t>
  </si>
  <si>
    <r>
      <t xml:space="preserve">7. ¿DEBO MARCAR CON CERO LAS OPCIONES QUE NO USE?   </t>
    </r>
    <r>
      <rPr>
        <b/>
        <sz val="14"/>
        <color indexed="16"/>
        <rFont val="Arial"/>
        <family val="2"/>
      </rPr>
      <t xml:space="preserve">                                                                                                                                                                                                    </t>
    </r>
  </si>
  <si>
    <t>No es necesario. El sistema las considera como cero, por lo que sólo debes preocuparte de indicar con número aquellas que sean uno o más.</t>
  </si>
  <si>
    <r>
      <t xml:space="preserve">8. ¿QUÉ OCURRE CUANDO HE INCLUIDO TODOS LOS DATOS DEL EJÉRCITO?   </t>
    </r>
    <r>
      <rPr>
        <b/>
        <sz val="14"/>
        <color indexed="16"/>
        <rFont val="Arial"/>
        <family val="2"/>
      </rPr>
      <t xml:space="preserve">                                                                                                                                                                                                    </t>
    </r>
  </si>
  <si>
    <r>
      <t xml:space="preserve">Entonces puedes ir a la pestaña de </t>
    </r>
    <r>
      <rPr>
        <b/>
        <sz val="14"/>
        <color indexed="13"/>
        <rFont val="Arial"/>
        <family val="2"/>
      </rPr>
      <t>"Resumen"</t>
    </r>
    <r>
      <rPr>
        <b/>
        <sz val="14"/>
        <color indexed="9"/>
        <rFont val="Arial"/>
        <family val="2"/>
      </rPr>
      <t xml:space="preserve"> y tendrás todos los parámetros calculados...si has introducido todo correctamente.</t>
    </r>
  </si>
  <si>
    <r>
      <t xml:space="preserve">9. ¿PARA QUÉ SIRVEN EL RESTO DE PESTAÑAS?   </t>
    </r>
    <r>
      <rPr>
        <b/>
        <sz val="14"/>
        <color indexed="16"/>
        <rFont val="Arial"/>
        <family val="2"/>
      </rPr>
      <t xml:space="preserve">                                                                                                                                                                                                    </t>
    </r>
  </si>
  <si>
    <t>El resto de pestañas tienen todas las operaciones que permiten el cálculo de los parámetros del ejército. Para evitar problemas han sido camufladas y se recomienda no tocarlas, ya que cualquier modificación puede suponer graves cambios en todo o parte del Sistema.</t>
  </si>
  <si>
    <t>¡¡ESPERO QUE LO DISFRUTRES!!</t>
  </si>
  <si>
    <t>CÓDEX ÁNGELES OSCUROS             por "Brother_Luther"</t>
  </si>
  <si>
    <r>
      <t>*Unidades con coraje:</t>
    </r>
    <r>
      <rPr>
        <sz val="11"/>
        <color indexed="8"/>
        <rFont val="Arial"/>
        <family val="2"/>
      </rPr>
      <t xml:space="preserve"> Aquellas que tengan un capellán asignado o se encuentren a 30 cm o menos de Ezekiel o un estandarte sagrado </t>
    </r>
  </si>
  <si>
    <r>
      <t xml:space="preserve">El usuario debe rellenar con números UNICAMENTE las </t>
    </r>
    <r>
      <rPr>
        <b/>
        <sz val="14"/>
        <color indexed="16"/>
        <rFont val="Arial"/>
        <family val="2"/>
      </rPr>
      <t>casillas marcadas</t>
    </r>
    <r>
      <rPr>
        <b/>
        <sz val="14"/>
        <color indexed="9"/>
        <rFont val="Arial"/>
        <family val="2"/>
      </rPr>
      <t xml:space="preserve"> (con </t>
    </r>
    <r>
      <rPr>
        <b/>
        <sz val="14"/>
        <color indexed="41"/>
        <rFont val="Arial"/>
        <family val="2"/>
      </rPr>
      <t xml:space="preserve">azul </t>
    </r>
    <r>
      <rPr>
        <b/>
        <sz val="14"/>
        <color indexed="9"/>
        <rFont val="Arial"/>
        <family val="2"/>
      </rPr>
      <t xml:space="preserve">o </t>
    </r>
    <r>
      <rPr>
        <b/>
        <sz val="14"/>
        <color indexed="52"/>
        <rFont val="Arial"/>
        <family val="2"/>
      </rPr>
      <t>naranja</t>
    </r>
    <r>
      <rPr>
        <b/>
        <sz val="14"/>
        <color indexed="9"/>
        <rFont val="Arial"/>
        <family val="2"/>
      </rPr>
      <t xml:space="preserve">) de cada unidad del ejército, indicando el número y tipo de equipamiento que de la misma.                                                                                                                                    </t>
    </r>
  </si>
  <si>
    <r>
      <t xml:space="preserve">10. ¿POR QUÉ LAS PESTAÑAS DE MORAL NO ESTÁN OCULTAS?   </t>
    </r>
    <r>
      <rPr>
        <b/>
        <sz val="14"/>
        <color indexed="16"/>
        <rFont val="Arial"/>
        <family val="2"/>
      </rPr>
      <t xml:space="preserve">                                                                                                                                                                                                    </t>
    </r>
  </si>
  <si>
    <r>
      <t xml:space="preserve">La moral del ejército depende de la disposición de determinadas unidades, por lo que el jugador puede modificar esa organización para dar mayor precisión al cálculo. Simplemente debes rellenar aquellas </t>
    </r>
    <r>
      <rPr>
        <b/>
        <sz val="14"/>
        <color indexed="41"/>
        <rFont val="Arial"/>
        <family val="2"/>
      </rPr>
      <t>casillas azules</t>
    </r>
    <r>
      <rPr>
        <b/>
        <sz val="14"/>
        <color indexed="9"/>
        <rFont val="Arial"/>
        <family val="2"/>
      </rPr>
      <t xml:space="preserve"> que te correspondan.</t>
    </r>
  </si>
  <si>
    <t xml:space="preserve"> Por ejemplo: Si dispones de un capellán y quieres que esté unido a una escuadra táctica, deberás poner un 1 en la casilla correspondiente de la escuadra táctica "con coraje". Si tienes un señor en el ejército, todas las unidades que tengan dicha opción (escuadras de marines y exploradores en general) deberán indicarse. </t>
  </si>
  <si>
    <t>Para cualquier duda sobre la hoja de cálculo, o si detectas algún error, por favor envía un mail a naginata9@hotmail.com.</t>
  </si>
  <si>
    <r>
      <t xml:space="preserve">11. ¿POR QUÉ HAY DOS PESTAÑAS DE MORAL?   </t>
    </r>
    <r>
      <rPr>
        <b/>
        <sz val="14"/>
        <color indexed="16"/>
        <rFont val="Arial"/>
        <family val="2"/>
      </rPr>
      <t xml:space="preserve">                                                                                                                                                                                                    </t>
    </r>
  </si>
  <si>
    <t>Una corresponde a la moral del ejército en el peor de los casos, mientras que la otra es para el peor. Por ejemplo, si no aplicas escuadras de combate probablemente (si no tienes un señor presente) tengas mayor moral que si separas.</t>
  </si>
  <si>
    <t>SISTEMA VIGILANTE (V-1.1)</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</si>
</sst>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76">
    <font>
      <sz val="10"/>
      <name val="Arial"/>
      <family val="0"/>
    </font>
    <font>
      <u val="single"/>
      <sz val="10"/>
      <color indexed="12"/>
      <name val="Arial"/>
      <family val="0"/>
    </font>
    <font>
      <u val="single"/>
      <sz val="10"/>
      <color indexed="36"/>
      <name val="Arial"/>
      <family val="0"/>
    </font>
    <font>
      <b/>
      <sz val="14"/>
      <name val="Arial"/>
      <family val="2"/>
    </font>
    <font>
      <b/>
      <sz val="10"/>
      <name val="Arial"/>
      <family val="2"/>
    </font>
    <font>
      <b/>
      <sz val="14"/>
      <name val="Times New Roman"/>
      <family val="1"/>
    </font>
    <font>
      <b/>
      <sz val="10"/>
      <color indexed="9"/>
      <name val="Arial"/>
      <family val="2"/>
    </font>
    <font>
      <b/>
      <sz val="10"/>
      <color indexed="8"/>
      <name val="Arial"/>
      <family val="2"/>
    </font>
    <font>
      <b/>
      <sz val="10"/>
      <name val="Times New Roman"/>
      <family val="1"/>
    </font>
    <font>
      <sz val="8"/>
      <name val="Arial"/>
      <family val="0"/>
    </font>
    <font>
      <sz val="7"/>
      <name val="Arial"/>
      <family val="2"/>
    </font>
    <font>
      <b/>
      <sz val="8"/>
      <name val="Times New Roman"/>
      <family val="1"/>
    </font>
    <font>
      <b/>
      <sz val="12"/>
      <name val="Arial"/>
      <family val="2"/>
    </font>
    <font>
      <b/>
      <sz val="9"/>
      <name val="Arial"/>
      <family val="2"/>
    </font>
    <font>
      <b/>
      <sz val="8"/>
      <name val="Arial"/>
      <family val="2"/>
    </font>
    <font>
      <sz val="10"/>
      <color indexed="8"/>
      <name val="Arial"/>
      <family val="2"/>
    </font>
    <font>
      <b/>
      <sz val="16"/>
      <color indexed="8"/>
      <name val="Times New Roman"/>
      <family val="1"/>
    </font>
    <font>
      <b/>
      <sz val="10"/>
      <color indexed="45"/>
      <name val="Arial"/>
      <family val="2"/>
    </font>
    <font>
      <b/>
      <sz val="8"/>
      <color indexed="8"/>
      <name val="Arial"/>
      <family val="2"/>
    </font>
    <font>
      <sz val="8"/>
      <color indexed="8"/>
      <name val="Arial"/>
      <family val="2"/>
    </font>
    <font>
      <b/>
      <sz val="16"/>
      <name val="Arial"/>
      <family val="2"/>
    </font>
    <font>
      <b/>
      <sz val="20"/>
      <name val="Arial"/>
      <family val="2"/>
    </font>
    <font>
      <b/>
      <sz val="16"/>
      <color indexed="10"/>
      <name val="Arial"/>
      <family val="2"/>
    </font>
    <font>
      <sz val="10"/>
      <color indexed="10"/>
      <name val="Arial"/>
      <family val="2"/>
    </font>
    <font>
      <b/>
      <sz val="8"/>
      <color indexed="10"/>
      <name val="Arial"/>
      <family val="2"/>
    </font>
    <font>
      <sz val="9.5"/>
      <name val="Arial"/>
      <family val="0"/>
    </font>
    <font>
      <b/>
      <sz val="9.5"/>
      <name val="Arial"/>
      <family val="0"/>
    </font>
    <font>
      <b/>
      <sz val="11.25"/>
      <color indexed="8"/>
      <name val="Arial"/>
      <family val="2"/>
    </font>
    <font>
      <b/>
      <sz val="11"/>
      <color indexed="8"/>
      <name val="Arial"/>
      <family val="2"/>
    </font>
    <font>
      <sz val="12"/>
      <name val="Arial"/>
      <family val="2"/>
    </font>
    <font>
      <b/>
      <sz val="10"/>
      <color indexed="10"/>
      <name val="Arial"/>
      <family val="2"/>
    </font>
    <font>
      <i/>
      <sz val="10"/>
      <name val="Arial"/>
      <family val="2"/>
    </font>
    <font>
      <b/>
      <i/>
      <sz val="10"/>
      <name val="Arial"/>
      <family val="2"/>
    </font>
    <font>
      <i/>
      <sz val="8"/>
      <name val="Arial"/>
      <family val="2"/>
    </font>
    <font>
      <sz val="9"/>
      <name val="Arial"/>
      <family val="0"/>
    </font>
    <font>
      <b/>
      <sz val="12"/>
      <color indexed="10"/>
      <name val="Arial"/>
      <family val="2"/>
    </font>
    <font>
      <b/>
      <i/>
      <sz val="9"/>
      <name val="Arial"/>
      <family val="2"/>
    </font>
    <font>
      <i/>
      <sz val="9"/>
      <name val="Arial"/>
      <family val="2"/>
    </font>
    <font>
      <b/>
      <sz val="12"/>
      <color indexed="12"/>
      <name val="Arial"/>
      <family val="2"/>
    </font>
    <font>
      <b/>
      <sz val="12"/>
      <color indexed="52"/>
      <name val="Arial"/>
      <family val="2"/>
    </font>
    <font>
      <b/>
      <sz val="10"/>
      <color indexed="12"/>
      <name val="Arial"/>
      <family val="2"/>
    </font>
    <font>
      <b/>
      <sz val="10"/>
      <color indexed="52"/>
      <name val="Arial"/>
      <family val="2"/>
    </font>
    <font>
      <b/>
      <i/>
      <sz val="8"/>
      <name val="Arial"/>
      <family val="2"/>
    </font>
    <font>
      <sz val="10"/>
      <color indexed="9"/>
      <name val="Arial"/>
      <family val="0"/>
    </font>
    <font>
      <i/>
      <sz val="8"/>
      <color indexed="9"/>
      <name val="Arial"/>
      <family val="2"/>
    </font>
    <font>
      <b/>
      <sz val="16"/>
      <color indexed="17"/>
      <name val="Arial"/>
      <family val="2"/>
    </font>
    <font>
      <b/>
      <sz val="14"/>
      <color indexed="9"/>
      <name val="Arial"/>
      <family val="2"/>
    </font>
    <font>
      <b/>
      <sz val="14"/>
      <color indexed="12"/>
      <name val="Arial"/>
      <family val="2"/>
    </font>
    <font>
      <b/>
      <sz val="14"/>
      <color indexed="52"/>
      <name val="Arial"/>
      <family val="2"/>
    </font>
    <font>
      <b/>
      <sz val="14"/>
      <color indexed="17"/>
      <name val="Arial"/>
      <family val="2"/>
    </font>
    <font>
      <b/>
      <sz val="14"/>
      <color indexed="10"/>
      <name val="Arial"/>
      <family val="2"/>
    </font>
    <font>
      <b/>
      <sz val="14"/>
      <color indexed="41"/>
      <name val="Arial"/>
      <family val="2"/>
    </font>
    <font>
      <b/>
      <sz val="16"/>
      <color indexed="16"/>
      <name val="Arial"/>
      <family val="2"/>
    </font>
    <font>
      <b/>
      <sz val="14"/>
      <color indexed="16"/>
      <name val="Arial"/>
      <family val="2"/>
    </font>
    <font>
      <b/>
      <sz val="14"/>
      <color indexed="8"/>
      <name val="Arial"/>
      <family val="2"/>
    </font>
    <font>
      <b/>
      <sz val="18"/>
      <color indexed="8"/>
      <name val="Arial"/>
      <family val="2"/>
    </font>
    <font>
      <sz val="18"/>
      <color indexed="8"/>
      <name val="Arial"/>
      <family val="2"/>
    </font>
    <font>
      <sz val="10"/>
      <color indexed="52"/>
      <name val="Arial"/>
      <family val="0"/>
    </font>
    <font>
      <b/>
      <sz val="26"/>
      <color indexed="52"/>
      <name val="Arial"/>
      <family val="0"/>
    </font>
    <font>
      <sz val="20"/>
      <color indexed="52"/>
      <name val="Arial"/>
      <family val="0"/>
    </font>
    <font>
      <b/>
      <sz val="18"/>
      <color indexed="52"/>
      <name val="Arial"/>
      <family val="0"/>
    </font>
    <font>
      <b/>
      <sz val="14"/>
      <color indexed="13"/>
      <name val="Arial"/>
      <family val="2"/>
    </font>
    <font>
      <sz val="26"/>
      <color indexed="10"/>
      <name val="Arial"/>
      <family val="0"/>
    </font>
    <font>
      <b/>
      <i/>
      <sz val="10"/>
      <color indexed="8"/>
      <name val="Arial"/>
      <family val="2"/>
    </font>
    <font>
      <b/>
      <sz val="12"/>
      <color indexed="8"/>
      <name val="Arial"/>
      <family val="2"/>
    </font>
    <font>
      <b/>
      <sz val="9"/>
      <color indexed="8"/>
      <name val="Arial"/>
      <family val="2"/>
    </font>
    <font>
      <sz val="11"/>
      <color indexed="8"/>
      <name val="Arial"/>
      <family val="2"/>
    </font>
    <font>
      <i/>
      <sz val="12"/>
      <color indexed="8"/>
      <name val="Times New Roman"/>
      <family val="1"/>
    </font>
    <font>
      <b/>
      <i/>
      <sz val="12"/>
      <color indexed="8"/>
      <name val="Times New Roman"/>
      <family val="1"/>
    </font>
    <font>
      <b/>
      <sz val="14"/>
      <color indexed="8"/>
      <name val="Times New Roman"/>
      <family val="1"/>
    </font>
    <font>
      <b/>
      <sz val="12"/>
      <color indexed="8"/>
      <name val="Times New Roman"/>
      <family val="1"/>
    </font>
    <font>
      <sz val="12"/>
      <color indexed="8"/>
      <name val="Arial"/>
      <family val="2"/>
    </font>
    <font>
      <sz val="7"/>
      <color indexed="8"/>
      <name val="Arial"/>
      <family val="2"/>
    </font>
    <font>
      <b/>
      <sz val="8"/>
      <color indexed="8"/>
      <name val="Times New Roman"/>
      <family val="1"/>
    </font>
    <font>
      <i/>
      <sz val="10"/>
      <color indexed="8"/>
      <name val="Arial"/>
      <family val="2"/>
    </font>
    <font>
      <b/>
      <i/>
      <sz val="12"/>
      <color indexed="9"/>
      <name val="Arial"/>
      <family val="2"/>
    </font>
  </fonts>
  <fills count="21">
    <fill>
      <patternFill/>
    </fill>
    <fill>
      <patternFill patternType="gray125"/>
    </fill>
    <fill>
      <patternFill patternType="solid">
        <fgColor indexed="52"/>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40"/>
        <bgColor indexed="64"/>
      </patternFill>
    </fill>
    <fill>
      <patternFill patternType="solid">
        <fgColor indexed="19"/>
        <bgColor indexed="64"/>
      </patternFill>
    </fill>
    <fill>
      <patternFill patternType="solid">
        <fgColor indexed="10"/>
        <bgColor indexed="64"/>
      </patternFill>
    </fill>
    <fill>
      <patternFill patternType="solid">
        <fgColor indexed="53"/>
        <bgColor indexed="64"/>
      </patternFill>
    </fill>
    <fill>
      <patternFill patternType="solid">
        <fgColor indexed="51"/>
        <bgColor indexed="64"/>
      </patternFill>
    </fill>
    <fill>
      <patternFill patternType="solid">
        <fgColor indexed="57"/>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
      <patternFill patternType="solid">
        <fgColor indexed="63"/>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12"/>
        <bgColor indexed="64"/>
      </patternFill>
    </fill>
    <fill>
      <patternFill patternType="solid">
        <fgColor indexed="17"/>
        <bgColor indexed="64"/>
      </patternFill>
    </fill>
  </fills>
  <borders count="57">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thin"/>
      <top style="medium"/>
      <bottom style="medium"/>
    </border>
    <border>
      <left style="medium"/>
      <right style="thin"/>
      <top style="medium"/>
      <bottom>
        <color indexed="63"/>
      </bottom>
    </border>
    <border>
      <left style="medium"/>
      <right style="thin"/>
      <top style="thin"/>
      <bottom style="medium"/>
    </border>
    <border>
      <left style="thin"/>
      <right style="medium"/>
      <top style="medium"/>
      <bottom style="medium"/>
    </border>
    <border>
      <left style="thin"/>
      <right style="medium"/>
      <top style="medium"/>
      <bottom>
        <color indexed="63"/>
      </bottom>
    </border>
    <border>
      <left style="thin"/>
      <right style="medium"/>
      <top style="thin"/>
      <bottom style="mediu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color indexed="63"/>
      </right>
      <top style="thin"/>
      <bottom>
        <color indexed="63"/>
      </bottom>
    </border>
    <border>
      <left style="medium"/>
      <right style="medium"/>
      <top>
        <color indexed="63"/>
      </top>
      <bottom style="thin"/>
    </border>
    <border>
      <left style="medium"/>
      <right style="medium"/>
      <top style="medium"/>
      <bottom style="thin"/>
    </border>
    <border>
      <left style="medium"/>
      <right>
        <color indexed="63"/>
      </right>
      <top>
        <color indexed="63"/>
      </top>
      <bottom style="thin"/>
    </border>
    <border>
      <left>
        <color indexed="63"/>
      </left>
      <right style="medium"/>
      <top style="thin"/>
      <bottom style="thin"/>
    </border>
    <border>
      <left style="medium"/>
      <right style="medium">
        <color indexed="8"/>
      </right>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medium"/>
      <bottom style="medium"/>
    </border>
    <border>
      <left style="medium"/>
      <right style="medium">
        <color indexed="8"/>
      </right>
      <top>
        <color indexed="63"/>
      </top>
      <bottom>
        <color indexed="63"/>
      </bottom>
    </border>
    <border>
      <left style="medium"/>
      <right style="medium">
        <color indexed="8"/>
      </right>
      <top>
        <color indexed="63"/>
      </top>
      <bottom style="medium"/>
    </border>
    <border>
      <left style="thin"/>
      <right style="thin"/>
      <top style="medium"/>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9">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0" xfId="0" applyAlignment="1">
      <alignment horizontal="center"/>
    </xf>
    <xf numFmtId="0" fontId="0" fillId="0" borderId="1" xfId="0" applyBorder="1" applyAlignment="1">
      <alignment/>
    </xf>
    <xf numFmtId="0" fontId="4" fillId="0" borderId="2" xfId="0" applyFont="1" applyBorder="1" applyAlignment="1">
      <alignment/>
    </xf>
    <xf numFmtId="0" fontId="0" fillId="0" borderId="0" xfId="0" applyBorder="1" applyAlignment="1">
      <alignment/>
    </xf>
    <xf numFmtId="0" fontId="4" fillId="0" borderId="0" xfId="0" applyFont="1" applyBorder="1" applyAlignment="1">
      <alignment/>
    </xf>
    <xf numFmtId="0" fontId="0" fillId="0" borderId="0" xfId="0" applyFont="1" applyBorder="1" applyAlignment="1">
      <alignment/>
    </xf>
    <xf numFmtId="0" fontId="0" fillId="0" borderId="2" xfId="0" applyBorder="1" applyAlignment="1">
      <alignment/>
    </xf>
    <xf numFmtId="0" fontId="4" fillId="0" borderId="3" xfId="0" applyFont="1" applyBorder="1" applyAlignment="1">
      <alignment/>
    </xf>
    <xf numFmtId="0" fontId="0" fillId="0" borderId="4" xfId="0" applyBorder="1" applyAlignment="1">
      <alignment/>
    </xf>
    <xf numFmtId="0" fontId="0" fillId="2" borderId="5" xfId="0" applyFill="1" applyBorder="1" applyAlignment="1">
      <alignment/>
    </xf>
    <xf numFmtId="0" fontId="0" fillId="3" borderId="6" xfId="0" applyFill="1" applyBorder="1" applyAlignment="1">
      <alignment/>
    </xf>
    <xf numFmtId="0" fontId="0" fillId="0" borderId="0" xfId="0" applyFill="1" applyAlignment="1">
      <alignment/>
    </xf>
    <xf numFmtId="0" fontId="5" fillId="0" borderId="0" xfId="0" applyFont="1" applyFill="1" applyBorder="1" applyAlignment="1">
      <alignment horizontal="center" vertical="top" wrapText="1"/>
    </xf>
    <xf numFmtId="0" fontId="0" fillId="0" borderId="0" xfId="0" applyFill="1" applyBorder="1" applyAlignment="1">
      <alignment/>
    </xf>
    <xf numFmtId="0" fontId="4" fillId="0" borderId="0" xfId="0" applyFont="1" applyFill="1" applyBorder="1" applyAlignment="1">
      <alignment horizontal="center"/>
    </xf>
    <xf numFmtId="2" fontId="0" fillId="0" borderId="0" xfId="0" applyNumberFormat="1" applyAlignment="1">
      <alignment horizontal="center"/>
    </xf>
    <xf numFmtId="0" fontId="0" fillId="0" borderId="0" xfId="0" applyBorder="1" applyAlignment="1">
      <alignment horizontal="center"/>
    </xf>
    <xf numFmtId="0" fontId="0" fillId="0" borderId="7" xfId="0" applyBorder="1" applyAlignment="1">
      <alignment/>
    </xf>
    <xf numFmtId="2" fontId="0" fillId="0" borderId="8" xfId="0" applyNumberFormat="1" applyBorder="1" applyAlignment="1">
      <alignment horizontal="center"/>
    </xf>
    <xf numFmtId="0" fontId="14" fillId="0" borderId="0" xfId="0" applyFont="1" applyBorder="1" applyAlignment="1">
      <alignment/>
    </xf>
    <xf numFmtId="2" fontId="0" fillId="0" borderId="3" xfId="0" applyNumberFormat="1" applyBorder="1" applyAlignment="1">
      <alignment horizontal="center"/>
    </xf>
    <xf numFmtId="0" fontId="3" fillId="4" borderId="9" xfId="0" applyFont="1" applyFill="1" applyBorder="1" applyAlignment="1">
      <alignment/>
    </xf>
    <xf numFmtId="2" fontId="3" fillId="4" borderId="9" xfId="0" applyNumberFormat="1" applyFont="1" applyFill="1" applyBorder="1" applyAlignment="1">
      <alignment horizontal="center"/>
    </xf>
    <xf numFmtId="0" fontId="4" fillId="0" borderId="9" xfId="0" applyFont="1" applyBorder="1" applyAlignment="1">
      <alignment horizontal="center"/>
    </xf>
    <xf numFmtId="0" fontId="3" fillId="5" borderId="9" xfId="0" applyFont="1" applyFill="1" applyBorder="1" applyAlignment="1">
      <alignment/>
    </xf>
    <xf numFmtId="0" fontId="3" fillId="6" borderId="9" xfId="0" applyFont="1" applyFill="1" applyBorder="1" applyAlignment="1">
      <alignment/>
    </xf>
    <xf numFmtId="2" fontId="3" fillId="6" borderId="9" xfId="0" applyNumberFormat="1" applyFont="1" applyFill="1" applyBorder="1" applyAlignment="1">
      <alignment horizontal="center"/>
    </xf>
    <xf numFmtId="0" fontId="0" fillId="0" borderId="0" xfId="0" applyFill="1" applyBorder="1" applyAlignment="1">
      <alignment horizontal="center"/>
    </xf>
    <xf numFmtId="0" fontId="7" fillId="0" borderId="0" xfId="0" applyFont="1" applyFill="1" applyBorder="1" applyAlignment="1">
      <alignment horizontal="center"/>
    </xf>
    <xf numFmtId="0" fontId="3" fillId="7" borderId="9" xfId="0" applyFont="1" applyFill="1" applyBorder="1" applyAlignment="1">
      <alignment/>
    </xf>
    <xf numFmtId="0" fontId="4" fillId="8" borderId="6" xfId="0" applyFont="1" applyFill="1" applyBorder="1" applyAlignment="1">
      <alignment horizontal="center"/>
    </xf>
    <xf numFmtId="0" fontId="4" fillId="9" borderId="6" xfId="0" applyFont="1" applyFill="1" applyBorder="1" applyAlignment="1">
      <alignment horizontal="center"/>
    </xf>
    <xf numFmtId="0" fontId="4" fillId="10" borderId="6" xfId="0" applyFont="1" applyFill="1" applyBorder="1" applyAlignment="1">
      <alignment horizontal="center"/>
    </xf>
    <xf numFmtId="0" fontId="4" fillId="4" borderId="6" xfId="0" applyFont="1" applyFill="1" applyBorder="1" applyAlignment="1">
      <alignment horizontal="center"/>
    </xf>
    <xf numFmtId="0" fontId="4" fillId="11" borderId="6" xfId="0" applyFont="1" applyFill="1" applyBorder="1" applyAlignment="1">
      <alignment horizontal="center"/>
    </xf>
    <xf numFmtId="0" fontId="4" fillId="6" borderId="6" xfId="0" applyFont="1" applyFill="1" applyBorder="1" applyAlignment="1">
      <alignment horizontal="center"/>
    </xf>
    <xf numFmtId="0" fontId="4" fillId="12" borderId="10" xfId="0" applyFont="1" applyFill="1" applyBorder="1" applyAlignment="1">
      <alignment horizontal="center"/>
    </xf>
    <xf numFmtId="2" fontId="4" fillId="8" borderId="9" xfId="0" applyNumberFormat="1" applyFont="1" applyFill="1" applyBorder="1" applyAlignment="1">
      <alignment horizontal="center" wrapText="1"/>
    </xf>
    <xf numFmtId="2" fontId="4" fillId="9" borderId="9" xfId="0" applyNumberFormat="1" applyFont="1" applyFill="1" applyBorder="1" applyAlignment="1">
      <alignment horizontal="center" wrapText="1"/>
    </xf>
    <xf numFmtId="2" fontId="4" fillId="10" borderId="9" xfId="0" applyNumberFormat="1" applyFont="1" applyFill="1" applyBorder="1" applyAlignment="1">
      <alignment horizontal="center" wrapText="1"/>
    </xf>
    <xf numFmtId="2" fontId="4" fillId="4" borderId="9" xfId="0" applyNumberFormat="1" applyFont="1" applyFill="1" applyBorder="1" applyAlignment="1">
      <alignment horizontal="center" wrapText="1"/>
    </xf>
    <xf numFmtId="2" fontId="4" fillId="11" borderId="9" xfId="0" applyNumberFormat="1" applyFont="1" applyFill="1" applyBorder="1" applyAlignment="1">
      <alignment horizontal="center" wrapText="1"/>
    </xf>
    <xf numFmtId="2" fontId="4" fillId="6" borderId="9" xfId="0" applyNumberFormat="1" applyFont="1" applyFill="1" applyBorder="1" applyAlignment="1">
      <alignment horizontal="center" wrapText="1"/>
    </xf>
    <xf numFmtId="2" fontId="4" fillId="12" borderId="11" xfId="0" applyNumberFormat="1" applyFont="1" applyFill="1" applyBorder="1" applyAlignment="1">
      <alignment horizontal="center" wrapText="1"/>
    </xf>
    <xf numFmtId="0" fontId="4" fillId="0" borderId="0" xfId="0" applyFont="1" applyBorder="1" applyAlignment="1">
      <alignment horizontal="center"/>
    </xf>
    <xf numFmtId="0" fontId="0" fillId="0" borderId="0" xfId="0" applyFill="1" applyBorder="1" applyAlignment="1">
      <alignment wrapText="1"/>
    </xf>
    <xf numFmtId="2" fontId="0" fillId="0" borderId="0" xfId="0" applyNumberFormat="1" applyFill="1" applyBorder="1" applyAlignment="1">
      <alignment wrapText="1"/>
    </xf>
    <xf numFmtId="2" fontId="0" fillId="0" borderId="0" xfId="0" applyNumberFormat="1" applyFill="1" applyBorder="1" applyAlignment="1">
      <alignment shrinkToFit="1"/>
    </xf>
    <xf numFmtId="0" fontId="4" fillId="13" borderId="12" xfId="0" applyFont="1" applyFill="1" applyBorder="1" applyAlignment="1">
      <alignment horizontal="center"/>
    </xf>
    <xf numFmtId="2" fontId="0" fillId="13" borderId="13" xfId="0" applyNumberFormat="1" applyFill="1" applyBorder="1" applyAlignment="1">
      <alignment horizontal="center"/>
    </xf>
    <xf numFmtId="2" fontId="0" fillId="13" borderId="14" xfId="0" applyNumberFormat="1" applyFill="1" applyBorder="1" applyAlignment="1">
      <alignment horizontal="center"/>
    </xf>
    <xf numFmtId="0" fontId="4" fillId="12" borderId="15" xfId="0" applyFont="1" applyFill="1" applyBorder="1" applyAlignment="1">
      <alignment horizontal="center"/>
    </xf>
    <xf numFmtId="2" fontId="0" fillId="12" borderId="16" xfId="0" applyNumberFormat="1" applyFill="1" applyBorder="1" applyAlignment="1">
      <alignment horizontal="center"/>
    </xf>
    <xf numFmtId="2" fontId="0" fillId="12" borderId="17" xfId="0" applyNumberFormat="1" applyFill="1" applyBorder="1" applyAlignment="1">
      <alignment horizontal="center"/>
    </xf>
    <xf numFmtId="0" fontId="14" fillId="0" borderId="0" xfId="0" applyFont="1" applyFill="1" applyBorder="1" applyAlignment="1">
      <alignment/>
    </xf>
    <xf numFmtId="2" fontId="3" fillId="7" borderId="9" xfId="0" applyNumberFormat="1" applyFont="1" applyFill="1" applyBorder="1" applyAlignment="1">
      <alignment horizontal="center"/>
    </xf>
    <xf numFmtId="0" fontId="15" fillId="0" borderId="0" xfId="0" applyFont="1" applyFill="1" applyBorder="1" applyAlignment="1">
      <alignment horizontal="center"/>
    </xf>
    <xf numFmtId="0" fontId="3" fillId="10" borderId="9" xfId="0" applyFont="1" applyFill="1" applyBorder="1" applyAlignment="1">
      <alignment/>
    </xf>
    <xf numFmtId="2" fontId="3" fillId="10" borderId="9" xfId="0" applyNumberFormat="1" applyFont="1" applyFill="1" applyBorder="1" applyAlignment="1">
      <alignment horizontal="center"/>
    </xf>
    <xf numFmtId="0" fontId="0" fillId="3" borderId="1" xfId="0" applyFill="1" applyBorder="1" applyAlignment="1">
      <alignment/>
    </xf>
    <xf numFmtId="0" fontId="7" fillId="0" borderId="0" xfId="0" applyFont="1" applyFill="1" applyBorder="1" applyAlignment="1">
      <alignment/>
    </xf>
    <xf numFmtId="2" fontId="3" fillId="14" borderId="9" xfId="0" applyNumberFormat="1" applyFont="1" applyFill="1" applyBorder="1" applyAlignment="1">
      <alignment horizontal="center"/>
    </xf>
    <xf numFmtId="0" fontId="21" fillId="10" borderId="5" xfId="0" applyFont="1" applyFill="1" applyBorder="1" applyAlignment="1">
      <alignment/>
    </xf>
    <xf numFmtId="0" fontId="0" fillId="10" borderId="9" xfId="0" applyFill="1" applyBorder="1" applyAlignment="1">
      <alignment/>
    </xf>
    <xf numFmtId="0" fontId="20" fillId="0" borderId="0" xfId="0" applyFont="1" applyFill="1" applyBorder="1" applyAlignment="1">
      <alignment/>
    </xf>
    <xf numFmtId="2" fontId="20" fillId="0" borderId="0" xfId="0" applyNumberFormat="1" applyFont="1" applyFill="1" applyBorder="1" applyAlignment="1">
      <alignment horizontal="center"/>
    </xf>
    <xf numFmtId="0" fontId="22" fillId="15" borderId="5" xfId="0" applyFont="1" applyFill="1" applyBorder="1" applyAlignment="1">
      <alignment/>
    </xf>
    <xf numFmtId="0" fontId="23" fillId="15" borderId="6" xfId="0" applyFont="1" applyFill="1" applyBorder="1" applyAlignment="1">
      <alignment/>
    </xf>
    <xf numFmtId="2" fontId="22" fillId="15" borderId="10" xfId="0" applyNumberFormat="1" applyFont="1" applyFill="1" applyBorder="1" applyAlignment="1">
      <alignment horizontal="center"/>
    </xf>
    <xf numFmtId="0" fontId="3" fillId="8" borderId="9" xfId="0" applyFont="1" applyFill="1" applyBorder="1" applyAlignment="1">
      <alignment/>
    </xf>
    <xf numFmtId="2" fontId="3" fillId="8" borderId="9" xfId="0" applyNumberFormat="1" applyFont="1" applyFill="1" applyBorder="1" applyAlignment="1">
      <alignment horizontal="center"/>
    </xf>
    <xf numFmtId="0" fontId="24" fillId="0" borderId="0" xfId="0" applyFont="1" applyFill="1" applyBorder="1" applyAlignment="1">
      <alignment/>
    </xf>
    <xf numFmtId="0" fontId="8" fillId="0" borderId="0" xfId="0" applyFont="1" applyFill="1" applyBorder="1" applyAlignment="1">
      <alignment horizontal="center" vertical="top" wrapText="1"/>
    </xf>
    <xf numFmtId="0" fontId="0" fillId="16" borderId="0" xfId="0" applyFill="1" applyAlignment="1">
      <alignment/>
    </xf>
    <xf numFmtId="0" fontId="0" fillId="16" borderId="0" xfId="0" applyFill="1" applyBorder="1" applyAlignment="1">
      <alignment/>
    </xf>
    <xf numFmtId="0" fontId="4" fillId="16" borderId="0" xfId="0" applyFont="1" applyFill="1" applyBorder="1" applyAlignment="1">
      <alignment horizontal="center"/>
    </xf>
    <xf numFmtId="0" fontId="0" fillId="16" borderId="0" xfId="0" applyFill="1" applyBorder="1" applyAlignment="1">
      <alignment horizontal="center"/>
    </xf>
    <xf numFmtId="2" fontId="4" fillId="16" borderId="0" xfId="0" applyNumberFormat="1" applyFont="1" applyFill="1" applyBorder="1" applyAlignment="1">
      <alignment horizontal="center"/>
    </xf>
    <xf numFmtId="0" fontId="0" fillId="16" borderId="0" xfId="0" applyFont="1" applyFill="1" applyAlignment="1">
      <alignment/>
    </xf>
    <xf numFmtId="0" fontId="10" fillId="16" borderId="0" xfId="0" applyFont="1" applyFill="1" applyBorder="1" applyAlignment="1">
      <alignment horizontal="center"/>
    </xf>
    <xf numFmtId="0" fontId="9" fillId="16" borderId="0" xfId="0" applyFont="1" applyFill="1" applyBorder="1" applyAlignment="1">
      <alignment horizontal="center"/>
    </xf>
    <xf numFmtId="0" fontId="8" fillId="16" borderId="0" xfId="0" applyFont="1" applyFill="1" applyBorder="1" applyAlignment="1">
      <alignment horizontal="center" vertical="top" wrapText="1"/>
    </xf>
    <xf numFmtId="0" fontId="0" fillId="16" borderId="0" xfId="0" applyFont="1" applyFill="1" applyBorder="1" applyAlignment="1">
      <alignment horizontal="center"/>
    </xf>
    <xf numFmtId="0" fontId="5" fillId="16" borderId="0" xfId="0" applyFont="1" applyFill="1" applyBorder="1" applyAlignment="1">
      <alignment horizontal="center" vertical="top" wrapText="1"/>
    </xf>
    <xf numFmtId="0" fontId="0" fillId="16" borderId="0" xfId="0" applyFont="1" applyFill="1" applyBorder="1" applyAlignment="1">
      <alignment/>
    </xf>
    <xf numFmtId="0" fontId="0" fillId="16" borderId="0" xfId="0" applyFill="1" applyBorder="1" applyAlignment="1">
      <alignment/>
    </xf>
    <xf numFmtId="0" fontId="6" fillId="16" borderId="0" xfId="0" applyFont="1" applyFill="1" applyBorder="1" applyAlignment="1">
      <alignment horizontal="center"/>
    </xf>
    <xf numFmtId="0" fontId="29" fillId="16" borderId="1" xfId="0" applyFont="1" applyFill="1" applyBorder="1" applyAlignment="1">
      <alignment horizontal="center"/>
    </xf>
    <xf numFmtId="0" fontId="29" fillId="16" borderId="7" xfId="0" applyFont="1" applyFill="1" applyBorder="1" applyAlignment="1">
      <alignment horizontal="center"/>
    </xf>
    <xf numFmtId="2" fontId="0" fillId="16" borderId="0" xfId="0" applyNumberFormat="1" applyFill="1" applyBorder="1" applyAlignment="1">
      <alignment/>
    </xf>
    <xf numFmtId="2" fontId="0" fillId="16" borderId="18" xfId="0" applyNumberFormat="1" applyFill="1" applyBorder="1" applyAlignment="1">
      <alignment/>
    </xf>
    <xf numFmtId="2" fontId="0" fillId="16" borderId="9" xfId="0" applyNumberFormat="1" applyFill="1" applyBorder="1" applyAlignment="1">
      <alignment/>
    </xf>
    <xf numFmtId="2" fontId="0" fillId="16" borderId="11" xfId="0" applyNumberFormat="1" applyFill="1" applyBorder="1" applyAlignment="1">
      <alignment/>
    </xf>
    <xf numFmtId="0" fontId="9" fillId="16" borderId="6" xfId="0" applyFont="1" applyFill="1" applyBorder="1" applyAlignment="1">
      <alignment horizontal="center"/>
    </xf>
    <xf numFmtId="0" fontId="4" fillId="16" borderId="4" xfId="0" applyFont="1" applyFill="1" applyBorder="1" applyAlignment="1">
      <alignment horizontal="center"/>
    </xf>
    <xf numFmtId="0" fontId="6" fillId="16" borderId="19" xfId="0" applyFont="1" applyFill="1" applyBorder="1" applyAlignment="1">
      <alignment horizontal="center"/>
    </xf>
    <xf numFmtId="0" fontId="0" fillId="16" borderId="20" xfId="0" applyFill="1" applyBorder="1" applyAlignment="1">
      <alignment horizontal="center"/>
    </xf>
    <xf numFmtId="0" fontId="6" fillId="16" borderId="20" xfId="0" applyFont="1" applyFill="1" applyBorder="1" applyAlignment="1">
      <alignment horizontal="center"/>
    </xf>
    <xf numFmtId="0" fontId="4" fillId="16" borderId="20" xfId="0" applyFont="1" applyFill="1" applyBorder="1" applyAlignment="1">
      <alignment horizontal="center"/>
    </xf>
    <xf numFmtId="0" fontId="0" fillId="16" borderId="21" xfId="0" applyFill="1" applyBorder="1" applyAlignment="1">
      <alignment horizontal="center"/>
    </xf>
    <xf numFmtId="0" fontId="4" fillId="16" borderId="5" xfId="0" applyFont="1" applyFill="1" applyBorder="1" applyAlignment="1">
      <alignment horizontal="center"/>
    </xf>
    <xf numFmtId="0" fontId="0" fillId="16" borderId="5" xfId="0" applyFill="1" applyBorder="1" applyAlignment="1">
      <alignment horizontal="center"/>
    </xf>
    <xf numFmtId="0" fontId="0" fillId="16" borderId="1" xfId="0" applyFill="1" applyBorder="1" applyAlignment="1">
      <alignment/>
    </xf>
    <xf numFmtId="0" fontId="0" fillId="16" borderId="9" xfId="0" applyFill="1" applyBorder="1" applyAlignment="1">
      <alignment/>
    </xf>
    <xf numFmtId="0" fontId="29" fillId="16" borderId="0" xfId="0" applyFont="1" applyFill="1" applyBorder="1" applyAlignment="1">
      <alignment horizontal="center"/>
    </xf>
    <xf numFmtId="0" fontId="0" fillId="16" borderId="0" xfId="0" applyFill="1" applyAlignment="1">
      <alignment vertical="center" wrapText="1"/>
    </xf>
    <xf numFmtId="2" fontId="3" fillId="5" borderId="9" xfId="0" applyNumberFormat="1" applyFont="1" applyFill="1" applyBorder="1" applyAlignment="1">
      <alignment horizontal="center"/>
    </xf>
    <xf numFmtId="0" fontId="16" fillId="16" borderId="0" xfId="0" applyFont="1" applyFill="1" applyBorder="1" applyAlignment="1">
      <alignment horizontal="left"/>
    </xf>
    <xf numFmtId="0" fontId="7" fillId="16" borderId="0" xfId="0" applyFont="1" applyFill="1" applyBorder="1" applyAlignment="1">
      <alignment/>
    </xf>
    <xf numFmtId="0" fontId="12" fillId="16" borderId="0" xfId="0" applyFont="1" applyFill="1" applyAlignment="1">
      <alignment/>
    </xf>
    <xf numFmtId="0" fontId="7" fillId="16" borderId="0" xfId="0" applyFont="1" applyFill="1" applyBorder="1" applyAlignment="1">
      <alignment horizontal="center"/>
    </xf>
    <xf numFmtId="1" fontId="0" fillId="16" borderId="0" xfId="0" applyNumberFormat="1" applyFill="1" applyBorder="1" applyAlignment="1">
      <alignment horizontal="center"/>
    </xf>
    <xf numFmtId="0" fontId="15" fillId="16" borderId="0" xfId="0" applyFont="1" applyFill="1" applyBorder="1" applyAlignment="1">
      <alignment horizontal="center"/>
    </xf>
    <xf numFmtId="2" fontId="0" fillId="16" borderId="0" xfId="0" applyNumberFormat="1" applyFill="1" applyBorder="1" applyAlignment="1">
      <alignment horizontal="center"/>
    </xf>
    <xf numFmtId="0" fontId="14" fillId="16" borderId="0" xfId="0" applyFont="1" applyFill="1" applyBorder="1" applyAlignment="1">
      <alignment/>
    </xf>
    <xf numFmtId="2" fontId="17" fillId="16" borderId="0" xfId="0" applyNumberFormat="1" applyFont="1" applyFill="1" applyBorder="1" applyAlignment="1">
      <alignment horizontal="center"/>
    </xf>
    <xf numFmtId="2" fontId="0" fillId="16" borderId="0" xfId="0" applyNumberFormat="1" applyFill="1" applyBorder="1" applyAlignment="1">
      <alignment horizontal="center" wrapText="1"/>
    </xf>
    <xf numFmtId="0" fontId="0" fillId="16" borderId="0" xfId="0" applyFill="1" applyBorder="1" applyAlignment="1">
      <alignment horizontal="center" wrapText="1"/>
    </xf>
    <xf numFmtId="0" fontId="0" fillId="16" borderId="0" xfId="0" applyFill="1" applyBorder="1" applyAlignment="1">
      <alignment wrapText="1"/>
    </xf>
    <xf numFmtId="2" fontId="0" fillId="16" borderId="0" xfId="0" applyNumberFormat="1" applyFill="1" applyBorder="1" applyAlignment="1">
      <alignment wrapText="1"/>
    </xf>
    <xf numFmtId="2" fontId="6" fillId="16" borderId="0" xfId="0" applyNumberFormat="1" applyFont="1" applyFill="1" applyBorder="1" applyAlignment="1">
      <alignment horizontal="center"/>
    </xf>
    <xf numFmtId="2" fontId="0" fillId="16" borderId="0" xfId="0" applyNumberFormat="1" applyFill="1" applyBorder="1" applyAlignment="1">
      <alignment shrinkToFit="1"/>
    </xf>
    <xf numFmtId="2" fontId="4" fillId="16" borderId="0" xfId="0" applyNumberFormat="1" applyFont="1" applyFill="1" applyBorder="1" applyAlignment="1">
      <alignment horizontal="center" wrapText="1"/>
    </xf>
    <xf numFmtId="0" fontId="4" fillId="16" borderId="0" xfId="0" applyFont="1" applyFill="1" applyBorder="1" applyAlignment="1">
      <alignment/>
    </xf>
    <xf numFmtId="2" fontId="0" fillId="16" borderId="0" xfId="0" applyNumberFormat="1" applyFill="1" applyBorder="1" applyAlignment="1">
      <alignment/>
    </xf>
    <xf numFmtId="0" fontId="16" fillId="16" borderId="0" xfId="0" applyFont="1" applyFill="1" applyAlignment="1">
      <alignment horizontal="left"/>
    </xf>
    <xf numFmtId="0" fontId="7" fillId="16" borderId="0" xfId="0" applyFont="1" applyFill="1" applyAlignment="1">
      <alignment/>
    </xf>
    <xf numFmtId="0" fontId="19" fillId="0" borderId="0" xfId="0" applyFont="1" applyFill="1" applyBorder="1" applyAlignment="1">
      <alignment horizontal="center"/>
    </xf>
    <xf numFmtId="0" fontId="4" fillId="16" borderId="0" xfId="0" applyFont="1" applyFill="1" applyAlignment="1">
      <alignment/>
    </xf>
    <xf numFmtId="0" fontId="0" fillId="0" borderId="18" xfId="0" applyBorder="1" applyAlignment="1">
      <alignment/>
    </xf>
    <xf numFmtId="0" fontId="0" fillId="0" borderId="3" xfId="0" applyBorder="1" applyAlignment="1">
      <alignment/>
    </xf>
    <xf numFmtId="0" fontId="0" fillId="0" borderId="9" xfId="0" applyBorder="1" applyAlignment="1">
      <alignment/>
    </xf>
    <xf numFmtId="0" fontId="0" fillId="0" borderId="11" xfId="0" applyBorder="1" applyAlignment="1">
      <alignment/>
    </xf>
    <xf numFmtId="0" fontId="0" fillId="16" borderId="2" xfId="0" applyFill="1" applyBorder="1" applyAlignment="1">
      <alignment/>
    </xf>
    <xf numFmtId="0" fontId="0" fillId="16" borderId="18" xfId="0" applyFill="1" applyBorder="1" applyAlignment="1">
      <alignment/>
    </xf>
    <xf numFmtId="0" fontId="0" fillId="16" borderId="22" xfId="0" applyFill="1" applyBorder="1" applyAlignment="1">
      <alignment/>
    </xf>
    <xf numFmtId="0" fontId="9" fillId="0" borderId="23" xfId="0" applyFont="1" applyBorder="1" applyAlignment="1">
      <alignment horizontal="center"/>
    </xf>
    <xf numFmtId="0" fontId="0" fillId="16" borderId="1" xfId="0" applyFill="1" applyBorder="1" applyAlignment="1">
      <alignment/>
    </xf>
    <xf numFmtId="0" fontId="0" fillId="16" borderId="4" xfId="0" applyFill="1" applyBorder="1" applyAlignment="1">
      <alignment/>
    </xf>
    <xf numFmtId="0" fontId="0" fillId="16" borderId="7" xfId="0" applyFill="1" applyBorder="1" applyAlignment="1">
      <alignment/>
    </xf>
    <xf numFmtId="0" fontId="0" fillId="16" borderId="23" xfId="0" applyFill="1" applyBorder="1" applyAlignment="1">
      <alignment/>
    </xf>
    <xf numFmtId="0" fontId="0" fillId="16" borderId="3" xfId="0" applyFill="1" applyBorder="1" applyAlignment="1">
      <alignment/>
    </xf>
    <xf numFmtId="0" fontId="0" fillId="16" borderId="8" xfId="0" applyFill="1" applyBorder="1" applyAlignment="1">
      <alignment/>
    </xf>
    <xf numFmtId="0" fontId="0" fillId="0" borderId="2" xfId="0" applyFill="1" applyBorder="1" applyAlignment="1">
      <alignment/>
    </xf>
    <xf numFmtId="0" fontId="9" fillId="16" borderId="23" xfId="0" applyFont="1" applyFill="1" applyBorder="1" applyAlignment="1">
      <alignment horizontal="center"/>
    </xf>
    <xf numFmtId="0" fontId="9" fillId="16" borderId="23" xfId="0" applyFont="1" applyFill="1" applyBorder="1" applyAlignment="1">
      <alignment/>
    </xf>
    <xf numFmtId="0" fontId="0" fillId="16" borderId="23" xfId="0" applyFont="1" applyFill="1" applyBorder="1" applyAlignment="1">
      <alignment/>
    </xf>
    <xf numFmtId="0" fontId="0" fillId="16" borderId="5" xfId="0" applyFont="1" applyFill="1" applyBorder="1" applyAlignment="1">
      <alignment/>
    </xf>
    <xf numFmtId="0" fontId="0" fillId="16" borderId="24" xfId="0" applyFont="1" applyFill="1" applyBorder="1" applyAlignment="1">
      <alignment/>
    </xf>
    <xf numFmtId="0" fontId="0" fillId="16" borderId="2" xfId="0" applyFont="1" applyFill="1" applyBorder="1" applyAlignment="1">
      <alignment/>
    </xf>
    <xf numFmtId="0" fontId="0" fillId="16" borderId="18" xfId="0" applyFont="1" applyFill="1" applyBorder="1" applyAlignment="1">
      <alignment/>
    </xf>
    <xf numFmtId="0" fontId="0" fillId="16" borderId="22" xfId="0" applyFont="1" applyFill="1" applyBorder="1" applyAlignment="1">
      <alignment/>
    </xf>
    <xf numFmtId="0" fontId="0" fillId="16" borderId="4" xfId="0" applyFont="1" applyFill="1" applyBorder="1" applyAlignment="1">
      <alignment/>
    </xf>
    <xf numFmtId="0" fontId="0" fillId="16" borderId="7" xfId="0" applyFont="1" applyFill="1" applyBorder="1" applyAlignment="1">
      <alignment/>
    </xf>
    <xf numFmtId="0" fontId="0" fillId="16" borderId="23" xfId="0" applyFont="1" applyFill="1" applyBorder="1" applyAlignment="1">
      <alignment/>
    </xf>
    <xf numFmtId="0" fontId="0" fillId="16" borderId="3" xfId="0" applyFont="1" applyFill="1" applyBorder="1" applyAlignment="1">
      <alignment/>
    </xf>
    <xf numFmtId="0" fontId="0" fillId="16" borderId="11" xfId="0" applyFont="1" applyFill="1" applyBorder="1" applyAlignment="1">
      <alignment/>
    </xf>
    <xf numFmtId="0" fontId="0" fillId="16" borderId="8" xfId="0" applyFont="1" applyFill="1" applyBorder="1" applyAlignment="1">
      <alignment/>
    </xf>
    <xf numFmtId="0" fontId="3" fillId="4" borderId="2" xfId="0" applyFont="1" applyFill="1" applyBorder="1" applyAlignment="1">
      <alignment/>
    </xf>
    <xf numFmtId="0" fontId="0" fillId="4" borderId="0" xfId="0" applyFill="1" applyAlignment="1">
      <alignment/>
    </xf>
    <xf numFmtId="0" fontId="0" fillId="0" borderId="18"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8" xfId="0" applyFill="1" applyBorder="1" applyAlignment="1">
      <alignment/>
    </xf>
    <xf numFmtId="0" fontId="0" fillId="17" borderId="22" xfId="0" applyFill="1" applyBorder="1" applyAlignment="1">
      <alignment/>
    </xf>
    <xf numFmtId="0" fontId="12" fillId="0" borderId="5" xfId="0" applyFont="1" applyBorder="1" applyAlignment="1">
      <alignment/>
    </xf>
    <xf numFmtId="0" fontId="12" fillId="0" borderId="4" xfId="0" applyFont="1" applyBorder="1" applyAlignment="1">
      <alignment/>
    </xf>
    <xf numFmtId="0" fontId="12" fillId="0" borderId="2" xfId="0" applyFont="1" applyBorder="1" applyAlignment="1">
      <alignment/>
    </xf>
    <xf numFmtId="0" fontId="0" fillId="16" borderId="2" xfId="0" applyFont="1" applyFill="1" applyBorder="1" applyAlignment="1">
      <alignment/>
    </xf>
    <xf numFmtId="0" fontId="0" fillId="16" borderId="18" xfId="0" applyFont="1" applyFill="1" applyBorder="1" applyAlignment="1">
      <alignment/>
    </xf>
    <xf numFmtId="0" fontId="0" fillId="16" borderId="22" xfId="0" applyFont="1" applyFill="1" applyBorder="1" applyAlignment="1">
      <alignment/>
    </xf>
    <xf numFmtId="0" fontId="0" fillId="16" borderId="3" xfId="0" applyFont="1" applyFill="1" applyBorder="1" applyAlignment="1">
      <alignment/>
    </xf>
    <xf numFmtId="0" fontId="0" fillId="16" borderId="11" xfId="0" applyFont="1" applyFill="1" applyBorder="1" applyAlignment="1">
      <alignment/>
    </xf>
    <xf numFmtId="0" fontId="0" fillId="16" borderId="8" xfId="0" applyFont="1" applyFill="1" applyBorder="1" applyAlignment="1">
      <alignment/>
    </xf>
    <xf numFmtId="0" fontId="0" fillId="4" borderId="0" xfId="0" applyFill="1" applyBorder="1" applyAlignment="1">
      <alignment/>
    </xf>
    <xf numFmtId="0" fontId="31" fillId="0" borderId="2" xfId="0" applyFont="1" applyBorder="1" applyAlignment="1">
      <alignment/>
    </xf>
    <xf numFmtId="0" fontId="31" fillId="0" borderId="3" xfId="0" applyFont="1" applyBorder="1" applyAlignment="1">
      <alignment/>
    </xf>
    <xf numFmtId="0" fontId="0" fillId="17" borderId="25" xfId="0" applyFill="1" applyBorder="1" applyAlignment="1">
      <alignment/>
    </xf>
    <xf numFmtId="0" fontId="9" fillId="0" borderId="23" xfId="0" applyFont="1" applyFill="1" applyBorder="1" applyAlignment="1">
      <alignment horizontal="center"/>
    </xf>
    <xf numFmtId="0" fontId="31" fillId="0" borderId="0" xfId="0" applyFont="1" applyBorder="1" applyAlignment="1">
      <alignment/>
    </xf>
    <xf numFmtId="0" fontId="0" fillId="17" borderId="26" xfId="0" applyFill="1" applyBorder="1" applyAlignment="1">
      <alignment/>
    </xf>
    <xf numFmtId="0" fontId="0" fillId="17" borderId="27" xfId="0" applyFill="1" applyBorder="1" applyAlignment="1">
      <alignment/>
    </xf>
    <xf numFmtId="0" fontId="3" fillId="4" borderId="5" xfId="0" applyFont="1" applyFill="1" applyBorder="1" applyAlignment="1">
      <alignment/>
    </xf>
    <xf numFmtId="0" fontId="0" fillId="4" borderId="6" xfId="0" applyFill="1" applyBorder="1" applyAlignment="1">
      <alignment/>
    </xf>
    <xf numFmtId="0" fontId="32" fillId="16" borderId="7" xfId="0" applyFont="1" applyFill="1" applyBorder="1" applyAlignment="1">
      <alignment/>
    </xf>
    <xf numFmtId="0" fontId="9" fillId="0" borderId="24" xfId="0" applyFont="1" applyFill="1" applyBorder="1" applyAlignment="1">
      <alignment horizontal="center"/>
    </xf>
    <xf numFmtId="0" fontId="0" fillId="0" borderId="6" xfId="0" applyFont="1" applyBorder="1" applyAlignment="1">
      <alignment/>
    </xf>
    <xf numFmtId="0" fontId="0" fillId="16" borderId="2" xfId="0" applyFont="1" applyFill="1" applyBorder="1" applyAlignment="1">
      <alignment/>
    </xf>
    <xf numFmtId="0" fontId="0" fillId="16" borderId="26" xfId="0" applyFill="1" applyBorder="1" applyAlignment="1">
      <alignment/>
    </xf>
    <xf numFmtId="0" fontId="33" fillId="0" borderId="0" xfId="0" applyFont="1" applyBorder="1" applyAlignment="1">
      <alignment/>
    </xf>
    <xf numFmtId="0" fontId="0" fillId="16" borderId="0" xfId="0" applyFont="1" applyFill="1" applyBorder="1" applyAlignment="1">
      <alignment/>
    </xf>
    <xf numFmtId="0" fontId="31" fillId="16" borderId="2" xfId="0" applyFont="1" applyFill="1" applyBorder="1" applyAlignment="1">
      <alignment/>
    </xf>
    <xf numFmtId="0" fontId="0" fillId="16" borderId="0" xfId="0" applyFont="1" applyFill="1" applyBorder="1" applyAlignment="1">
      <alignment/>
    </xf>
    <xf numFmtId="0" fontId="31" fillId="16" borderId="0" xfId="0" applyFont="1" applyFill="1" applyBorder="1" applyAlignment="1">
      <alignment/>
    </xf>
    <xf numFmtId="0" fontId="31" fillId="16" borderId="2" xfId="0" applyFont="1" applyFill="1" applyBorder="1" applyAlignment="1">
      <alignment/>
    </xf>
    <xf numFmtId="0" fontId="31" fillId="16" borderId="3" xfId="0" applyFont="1" applyFill="1" applyBorder="1" applyAlignment="1">
      <alignment/>
    </xf>
    <xf numFmtId="0" fontId="33" fillId="16" borderId="0" xfId="0" applyFont="1" applyFill="1" applyBorder="1" applyAlignment="1">
      <alignment/>
    </xf>
    <xf numFmtId="0" fontId="31" fillId="16" borderId="0" xfId="0" applyFont="1" applyFill="1" applyBorder="1" applyAlignment="1">
      <alignment/>
    </xf>
    <xf numFmtId="0" fontId="12" fillId="16" borderId="4" xfId="0" applyFont="1" applyFill="1" applyBorder="1" applyAlignment="1">
      <alignment/>
    </xf>
    <xf numFmtId="0" fontId="0" fillId="16" borderId="20" xfId="0" applyFill="1" applyBorder="1" applyAlignment="1">
      <alignment/>
    </xf>
    <xf numFmtId="0" fontId="0" fillId="16" borderId="25" xfId="0" applyFill="1" applyBorder="1" applyAlignment="1">
      <alignment/>
    </xf>
    <xf numFmtId="0" fontId="0" fillId="16" borderId="28" xfId="0" applyFill="1" applyBorder="1" applyAlignment="1">
      <alignment/>
    </xf>
    <xf numFmtId="0" fontId="0" fillId="16" borderId="9" xfId="0" applyFill="1" applyBorder="1" applyAlignment="1">
      <alignment/>
    </xf>
    <xf numFmtId="0" fontId="0" fillId="16" borderId="21" xfId="0" applyFill="1" applyBorder="1" applyAlignment="1">
      <alignment/>
    </xf>
    <xf numFmtId="0" fontId="0" fillId="16" borderId="27" xfId="0" applyFill="1" applyBorder="1" applyAlignment="1">
      <alignment/>
    </xf>
    <xf numFmtId="0" fontId="31" fillId="0" borderId="2" xfId="0" applyFont="1" applyFill="1" applyBorder="1" applyAlignment="1">
      <alignment/>
    </xf>
    <xf numFmtId="0" fontId="33" fillId="0" borderId="2" xfId="0" applyFont="1" applyBorder="1" applyAlignment="1">
      <alignment/>
    </xf>
    <xf numFmtId="0" fontId="0" fillId="16" borderId="2" xfId="0" applyFont="1" applyFill="1" applyBorder="1" applyAlignment="1">
      <alignment/>
    </xf>
    <xf numFmtId="0" fontId="0" fillId="16" borderId="18" xfId="0" applyFont="1" applyFill="1" applyBorder="1" applyAlignment="1">
      <alignment/>
    </xf>
    <xf numFmtId="0" fontId="0" fillId="16" borderId="7" xfId="0" applyFont="1" applyFill="1" applyBorder="1" applyAlignment="1">
      <alignment/>
    </xf>
    <xf numFmtId="0" fontId="0" fillId="16" borderId="2" xfId="0" applyFont="1" applyFill="1" applyBorder="1" applyAlignment="1">
      <alignment/>
    </xf>
    <xf numFmtId="0" fontId="0" fillId="16" borderId="18" xfId="0" applyFont="1" applyFill="1" applyBorder="1" applyAlignment="1">
      <alignment/>
    </xf>
    <xf numFmtId="0" fontId="0" fillId="0" borderId="2" xfId="0" applyFont="1" applyBorder="1" applyAlignment="1">
      <alignment/>
    </xf>
    <xf numFmtId="0" fontId="9" fillId="0" borderId="2" xfId="0" applyFont="1" applyBorder="1" applyAlignment="1">
      <alignment/>
    </xf>
    <xf numFmtId="0" fontId="9" fillId="0" borderId="0" xfId="0" applyFont="1" applyBorder="1" applyAlignment="1">
      <alignment/>
    </xf>
    <xf numFmtId="0" fontId="0" fillId="16" borderId="1" xfId="0" applyFont="1" applyFill="1" applyBorder="1" applyAlignment="1">
      <alignment/>
    </xf>
    <xf numFmtId="0" fontId="0" fillId="17" borderId="29" xfId="0" applyFill="1" applyBorder="1" applyAlignment="1">
      <alignment/>
    </xf>
    <xf numFmtId="0" fontId="0" fillId="17" borderId="30" xfId="0" applyFill="1" applyBorder="1" applyAlignment="1">
      <alignment/>
    </xf>
    <xf numFmtId="0" fontId="0" fillId="16" borderId="0" xfId="0" applyFont="1" applyFill="1" applyBorder="1" applyAlignment="1">
      <alignment/>
    </xf>
    <xf numFmtId="0" fontId="0" fillId="16" borderId="9" xfId="0" applyFont="1" applyFill="1" applyBorder="1" applyAlignment="1">
      <alignment/>
    </xf>
    <xf numFmtId="0" fontId="0" fillId="0" borderId="1" xfId="0" applyFill="1" applyBorder="1" applyAlignment="1">
      <alignment/>
    </xf>
    <xf numFmtId="0" fontId="0" fillId="0" borderId="7" xfId="0" applyFill="1" applyBorder="1" applyAlignment="1">
      <alignment/>
    </xf>
    <xf numFmtId="0" fontId="32" fillId="16" borderId="0" xfId="0" applyFont="1" applyFill="1" applyBorder="1" applyAlignment="1">
      <alignment/>
    </xf>
    <xf numFmtId="0" fontId="12" fillId="0" borderId="24" xfId="0" applyFont="1" applyBorder="1" applyAlignment="1">
      <alignment horizontal="center"/>
    </xf>
    <xf numFmtId="0" fontId="35" fillId="0" borderId="24" xfId="0" applyFont="1" applyFill="1" applyBorder="1" applyAlignment="1">
      <alignment horizontal="center"/>
    </xf>
    <xf numFmtId="0" fontId="30" fillId="0" borderId="0" xfId="0" applyFont="1" applyBorder="1" applyAlignment="1">
      <alignment/>
    </xf>
    <xf numFmtId="0" fontId="0" fillId="17" borderId="31" xfId="0" applyFill="1" applyBorder="1" applyAlignment="1">
      <alignment/>
    </xf>
    <xf numFmtId="0" fontId="0" fillId="17" borderId="20" xfId="0" applyFill="1" applyBorder="1" applyAlignment="1">
      <alignment/>
    </xf>
    <xf numFmtId="0" fontId="0" fillId="0" borderId="11" xfId="0" applyFill="1" applyBorder="1" applyAlignment="1">
      <alignment/>
    </xf>
    <xf numFmtId="0" fontId="12" fillId="0" borderId="8" xfId="0" applyFont="1" applyBorder="1" applyAlignment="1">
      <alignment horizontal="center"/>
    </xf>
    <xf numFmtId="0" fontId="35" fillId="0" borderId="8" xfId="0" applyFont="1" applyFill="1" applyBorder="1" applyAlignment="1">
      <alignment horizontal="center"/>
    </xf>
    <xf numFmtId="0" fontId="0" fillId="0" borderId="9" xfId="0" applyFill="1" applyBorder="1" applyAlignment="1">
      <alignment/>
    </xf>
    <xf numFmtId="0" fontId="0" fillId="17" borderId="28" xfId="0" applyFill="1" applyBorder="1" applyAlignment="1">
      <alignment/>
    </xf>
    <xf numFmtId="0" fontId="0" fillId="17" borderId="21" xfId="0" applyFill="1" applyBorder="1" applyAlignment="1">
      <alignment/>
    </xf>
    <xf numFmtId="0" fontId="35" fillId="0" borderId="3" xfId="0" applyFont="1" applyFill="1" applyBorder="1" applyAlignment="1">
      <alignment horizontal="center"/>
    </xf>
    <xf numFmtId="0" fontId="0" fillId="0" borderId="4" xfId="0" applyFill="1" applyBorder="1" applyAlignment="1">
      <alignment/>
    </xf>
    <xf numFmtId="0" fontId="0" fillId="0" borderId="3" xfId="0" applyFill="1" applyBorder="1" applyAlignment="1">
      <alignment/>
    </xf>
    <xf numFmtId="0" fontId="12" fillId="11" borderId="4" xfId="0" applyFont="1" applyFill="1" applyBorder="1" applyAlignment="1">
      <alignment/>
    </xf>
    <xf numFmtId="0" fontId="0" fillId="11" borderId="1" xfId="0" applyFill="1" applyBorder="1" applyAlignment="1">
      <alignment/>
    </xf>
    <xf numFmtId="0" fontId="0" fillId="11" borderId="7" xfId="0" applyFill="1" applyBorder="1" applyAlignment="1">
      <alignment/>
    </xf>
    <xf numFmtId="0" fontId="0" fillId="0" borderId="18" xfId="0" applyFont="1" applyBorder="1" applyAlignment="1">
      <alignment/>
    </xf>
    <xf numFmtId="0" fontId="0" fillId="17" borderId="24" xfId="0" applyFill="1" applyBorder="1" applyAlignment="1">
      <alignment horizontal="center"/>
    </xf>
    <xf numFmtId="0" fontId="0" fillId="17" borderId="24" xfId="0" applyFont="1" applyFill="1" applyBorder="1" applyAlignment="1">
      <alignment horizontal="center"/>
    </xf>
    <xf numFmtId="0" fontId="0" fillId="17" borderId="30" xfId="0" applyFill="1" applyBorder="1" applyAlignment="1">
      <alignment horizontal="center"/>
    </xf>
    <xf numFmtId="0" fontId="0" fillId="17" borderId="8" xfId="0" applyFill="1" applyBorder="1" applyAlignment="1">
      <alignment horizontal="center"/>
    </xf>
    <xf numFmtId="0" fontId="0" fillId="17" borderId="23" xfId="0" applyFill="1" applyBorder="1" applyAlignment="1">
      <alignment horizontal="center"/>
    </xf>
    <xf numFmtId="0" fontId="0" fillId="16" borderId="1" xfId="0" applyFont="1" applyFill="1" applyBorder="1" applyAlignment="1">
      <alignment/>
    </xf>
    <xf numFmtId="0" fontId="0" fillId="16" borderId="7" xfId="0" applyFont="1" applyFill="1" applyBorder="1" applyAlignment="1">
      <alignment horizontal="center"/>
    </xf>
    <xf numFmtId="0" fontId="12" fillId="16" borderId="0" xfId="0" applyFont="1" applyFill="1" applyBorder="1" applyAlignment="1">
      <alignment/>
    </xf>
    <xf numFmtId="0" fontId="0" fillId="16" borderId="24" xfId="0" applyFill="1" applyBorder="1" applyAlignment="1">
      <alignment horizontal="center"/>
    </xf>
    <xf numFmtId="0" fontId="3" fillId="16" borderId="2" xfId="0" applyFont="1" applyFill="1" applyBorder="1" applyAlignment="1">
      <alignment/>
    </xf>
    <xf numFmtId="0" fontId="31" fillId="0" borderId="9" xfId="0" applyFont="1" applyBorder="1" applyAlignment="1">
      <alignment/>
    </xf>
    <xf numFmtId="0" fontId="0" fillId="16" borderId="7" xfId="0" applyFill="1" applyBorder="1" applyAlignment="1">
      <alignment horizontal="center"/>
    </xf>
    <xf numFmtId="0" fontId="31" fillId="16" borderId="8" xfId="0" applyFont="1" applyFill="1" applyBorder="1" applyAlignment="1">
      <alignment/>
    </xf>
    <xf numFmtId="0" fontId="0" fillId="16" borderId="31" xfId="0" applyFill="1" applyBorder="1" applyAlignment="1">
      <alignment/>
    </xf>
    <xf numFmtId="0" fontId="0" fillId="16" borderId="22" xfId="0" applyFill="1" applyBorder="1" applyAlignment="1">
      <alignment horizontal="center"/>
    </xf>
    <xf numFmtId="0" fontId="31" fillId="0" borderId="3" xfId="0" applyFont="1" applyFill="1" applyBorder="1" applyAlignment="1">
      <alignment/>
    </xf>
    <xf numFmtId="0" fontId="0" fillId="16" borderId="22" xfId="0" applyFont="1" applyFill="1" applyBorder="1" applyAlignment="1">
      <alignment/>
    </xf>
    <xf numFmtId="0" fontId="0" fillId="0" borderId="3" xfId="0" applyFont="1" applyBorder="1" applyAlignment="1">
      <alignment/>
    </xf>
    <xf numFmtId="2" fontId="4" fillId="8" borderId="0" xfId="0" applyNumberFormat="1" applyFont="1" applyFill="1" applyAlignment="1">
      <alignment horizontal="center"/>
    </xf>
    <xf numFmtId="2" fontId="4" fillId="9" borderId="0" xfId="0" applyNumberFormat="1" applyFont="1" applyFill="1" applyAlignment="1">
      <alignment horizontal="center"/>
    </xf>
    <xf numFmtId="2" fontId="4" fillId="10" borderId="0" xfId="0" applyNumberFormat="1" applyFont="1" applyFill="1" applyAlignment="1">
      <alignment horizontal="center"/>
    </xf>
    <xf numFmtId="2" fontId="4" fillId="4" borderId="0" xfId="0" applyNumberFormat="1" applyFont="1" applyFill="1" applyAlignment="1">
      <alignment horizontal="center"/>
    </xf>
    <xf numFmtId="2" fontId="4" fillId="11" borderId="0" xfId="0" applyNumberFormat="1" applyFont="1" applyFill="1" applyAlignment="1">
      <alignment horizontal="center"/>
    </xf>
    <xf numFmtId="2" fontId="4" fillId="6" borderId="0" xfId="0" applyNumberFormat="1" applyFont="1" applyFill="1" applyAlignment="1">
      <alignment horizontal="center"/>
    </xf>
    <xf numFmtId="2" fontId="4" fillId="12" borderId="0" xfId="0" applyNumberFormat="1" applyFont="1" applyFill="1" applyAlignment="1">
      <alignment horizontal="center"/>
    </xf>
    <xf numFmtId="0" fontId="9" fillId="0" borderId="5" xfId="0" applyFont="1" applyBorder="1" applyAlignment="1">
      <alignment horizontal="center" wrapText="1"/>
    </xf>
    <xf numFmtId="0" fontId="9" fillId="0" borderId="24" xfId="0" applyFont="1" applyBorder="1" applyAlignment="1">
      <alignment horizontal="center" wrapText="1"/>
    </xf>
    <xf numFmtId="0" fontId="0" fillId="16" borderId="10" xfId="0" applyFill="1" applyBorder="1" applyAlignment="1">
      <alignment horizontal="center"/>
    </xf>
    <xf numFmtId="0" fontId="30" fillId="0" borderId="7" xfId="0" applyFont="1" applyFill="1" applyBorder="1" applyAlignment="1">
      <alignment horizontal="center"/>
    </xf>
    <xf numFmtId="0" fontId="4" fillId="0" borderId="24" xfId="0" applyFont="1" applyFill="1" applyBorder="1" applyAlignment="1">
      <alignment horizontal="center"/>
    </xf>
    <xf numFmtId="0" fontId="9" fillId="16" borderId="18" xfId="0" applyFont="1" applyFill="1" applyBorder="1" applyAlignment="1">
      <alignment/>
    </xf>
    <xf numFmtId="0" fontId="32" fillId="0" borderId="0" xfId="0" applyFont="1" applyBorder="1" applyAlignment="1">
      <alignment/>
    </xf>
    <xf numFmtId="0" fontId="32" fillId="0" borderId="0" xfId="0" applyFont="1" applyAlignment="1">
      <alignment/>
    </xf>
    <xf numFmtId="0" fontId="3" fillId="4" borderId="0" xfId="0" applyFont="1" applyFill="1" applyBorder="1" applyAlignment="1">
      <alignment/>
    </xf>
    <xf numFmtId="0" fontId="12" fillId="0" borderId="1" xfId="0" applyFont="1" applyBorder="1" applyAlignment="1">
      <alignment/>
    </xf>
    <xf numFmtId="0" fontId="12" fillId="16" borderId="1" xfId="0" applyFont="1" applyFill="1" applyBorder="1" applyAlignment="1">
      <alignment/>
    </xf>
    <xf numFmtId="0" fontId="9" fillId="0" borderId="4" xfId="0" applyFont="1" applyFill="1" applyBorder="1" applyAlignment="1">
      <alignment horizontal="center"/>
    </xf>
    <xf numFmtId="0" fontId="0" fillId="2" borderId="24" xfId="0" applyFill="1" applyBorder="1" applyAlignment="1">
      <alignment/>
    </xf>
    <xf numFmtId="0" fontId="0" fillId="2" borderId="8" xfId="0" applyFill="1" applyBorder="1" applyAlignment="1">
      <alignment/>
    </xf>
    <xf numFmtId="0" fontId="0" fillId="2" borderId="24" xfId="0" applyFill="1" applyBorder="1" applyAlignment="1">
      <alignment horizontal="center"/>
    </xf>
    <xf numFmtId="0" fontId="0" fillId="2" borderId="8" xfId="0" applyFill="1" applyBorder="1" applyAlignment="1">
      <alignment horizontal="center"/>
    </xf>
    <xf numFmtId="0" fontId="0" fillId="17" borderId="25" xfId="0" applyFill="1" applyBorder="1" applyAlignment="1">
      <alignment horizontal="center"/>
    </xf>
    <xf numFmtId="0" fontId="0" fillId="0" borderId="18" xfId="0" applyFill="1" applyBorder="1" applyAlignment="1">
      <alignment horizontal="center"/>
    </xf>
    <xf numFmtId="0" fontId="4" fillId="18" borderId="0" xfId="0" applyFont="1" applyFill="1" applyAlignment="1">
      <alignment/>
    </xf>
    <xf numFmtId="0" fontId="0" fillId="18" borderId="0" xfId="0" applyFill="1" applyAlignment="1">
      <alignment/>
    </xf>
    <xf numFmtId="0" fontId="0" fillId="18" borderId="22" xfId="0" applyFill="1" applyBorder="1" applyAlignment="1">
      <alignment/>
    </xf>
    <xf numFmtId="0" fontId="30" fillId="0" borderId="2" xfId="0" applyFont="1" applyBorder="1" applyAlignment="1">
      <alignment/>
    </xf>
    <xf numFmtId="0" fontId="12" fillId="0" borderId="0" xfId="0" applyFont="1" applyBorder="1" applyAlignment="1">
      <alignment/>
    </xf>
    <xf numFmtId="0" fontId="34" fillId="0" borderId="0" xfId="0" applyFont="1" applyBorder="1" applyAlignment="1">
      <alignment/>
    </xf>
    <xf numFmtId="0" fontId="13" fillId="0" borderId="0" xfId="0" applyFont="1" applyAlignment="1">
      <alignment/>
    </xf>
    <xf numFmtId="0" fontId="32" fillId="0" borderId="2" xfId="0" applyFont="1" applyBorder="1" applyAlignment="1">
      <alignment horizontal="center"/>
    </xf>
    <xf numFmtId="0" fontId="0" fillId="17" borderId="10" xfId="0" applyFill="1" applyBorder="1" applyAlignment="1">
      <alignment horizontal="center"/>
    </xf>
    <xf numFmtId="0" fontId="12" fillId="0" borderId="3" xfId="0" applyFont="1" applyBorder="1" applyAlignment="1">
      <alignment/>
    </xf>
    <xf numFmtId="0" fontId="12" fillId="0" borderId="2" xfId="0" applyFont="1" applyFill="1" applyBorder="1" applyAlignment="1">
      <alignment/>
    </xf>
    <xf numFmtId="0" fontId="12" fillId="0" borderId="3" xfId="0" applyFont="1" applyFill="1" applyBorder="1" applyAlignment="1">
      <alignment/>
    </xf>
    <xf numFmtId="0" fontId="0" fillId="16" borderId="18" xfId="0" applyFill="1" applyBorder="1" applyAlignment="1">
      <alignment horizontal="center"/>
    </xf>
    <xf numFmtId="0" fontId="0" fillId="0" borderId="9" xfId="0" applyFont="1" applyBorder="1" applyAlignment="1">
      <alignment/>
    </xf>
    <xf numFmtId="0" fontId="0" fillId="17" borderId="7" xfId="0" applyFill="1" applyBorder="1" applyAlignment="1">
      <alignment horizontal="center"/>
    </xf>
    <xf numFmtId="0" fontId="0" fillId="17" borderId="32" xfId="0" applyFont="1" applyFill="1" applyBorder="1" applyAlignment="1">
      <alignment horizontal="center"/>
    </xf>
    <xf numFmtId="0" fontId="0" fillId="17" borderId="11" xfId="0" applyFont="1" applyFill="1" applyBorder="1" applyAlignment="1">
      <alignment horizontal="center"/>
    </xf>
    <xf numFmtId="0" fontId="0" fillId="17" borderId="0" xfId="0" applyFill="1" applyBorder="1" applyAlignment="1">
      <alignment horizontal="center"/>
    </xf>
    <xf numFmtId="0" fontId="37" fillId="0" borderId="2" xfId="0" applyFont="1" applyBorder="1" applyAlignment="1">
      <alignment/>
    </xf>
    <xf numFmtId="0" fontId="9" fillId="0" borderId="2" xfId="0" applyFont="1" applyBorder="1" applyAlignment="1">
      <alignment horizontal="left"/>
    </xf>
    <xf numFmtId="0" fontId="33" fillId="0" borderId="3" xfId="0" applyFont="1" applyBorder="1" applyAlignment="1">
      <alignment/>
    </xf>
    <xf numFmtId="0" fontId="0" fillId="17" borderId="19" xfId="0" applyFill="1" applyBorder="1" applyAlignment="1">
      <alignment/>
    </xf>
    <xf numFmtId="0" fontId="38" fillId="0" borderId="24" xfId="0" applyFont="1" applyBorder="1" applyAlignment="1">
      <alignment horizontal="center"/>
    </xf>
    <xf numFmtId="0" fontId="39" fillId="0" borderId="24" xfId="0" applyFont="1" applyFill="1" applyBorder="1" applyAlignment="1">
      <alignment horizontal="center"/>
    </xf>
    <xf numFmtId="0" fontId="39" fillId="0" borderId="23" xfId="0" applyFont="1" applyFill="1" applyBorder="1" applyAlignment="1">
      <alignment horizontal="center"/>
    </xf>
    <xf numFmtId="0" fontId="40" fillId="0" borderId="2" xfId="0" applyFont="1" applyBorder="1" applyAlignment="1">
      <alignment/>
    </xf>
    <xf numFmtId="0" fontId="41" fillId="0" borderId="2" xfId="0" applyFont="1" applyBorder="1" applyAlignment="1">
      <alignment/>
    </xf>
    <xf numFmtId="0" fontId="9" fillId="0" borderId="2" xfId="0" applyFont="1" applyFill="1" applyBorder="1" applyAlignment="1">
      <alignment/>
    </xf>
    <xf numFmtId="0" fontId="9" fillId="0" borderId="18" xfId="0" applyFont="1" applyFill="1" applyBorder="1" applyAlignment="1">
      <alignment/>
    </xf>
    <xf numFmtId="0" fontId="9" fillId="0" borderId="2" xfId="0" applyFont="1" applyBorder="1" applyAlignment="1">
      <alignment/>
    </xf>
    <xf numFmtId="0" fontId="33" fillId="0" borderId="2" xfId="0" applyFont="1" applyFill="1" applyBorder="1" applyAlignment="1">
      <alignment/>
    </xf>
    <xf numFmtId="0" fontId="9" fillId="0" borderId="2" xfId="0" applyFont="1" applyFill="1" applyBorder="1" applyAlignment="1">
      <alignment horizontal="left"/>
    </xf>
    <xf numFmtId="0" fontId="9" fillId="0" borderId="0" xfId="0" applyFont="1" applyFill="1" applyBorder="1" applyAlignment="1">
      <alignment/>
    </xf>
    <xf numFmtId="0" fontId="9" fillId="0" borderId="0" xfId="0" applyFont="1" applyBorder="1" applyAlignment="1">
      <alignment horizontal="left"/>
    </xf>
    <xf numFmtId="0" fontId="37" fillId="0" borderId="0" xfId="0" applyFont="1" applyBorder="1" applyAlignment="1">
      <alignment/>
    </xf>
    <xf numFmtId="0" fontId="34" fillId="0" borderId="2" xfId="0" applyFont="1" applyBorder="1" applyAlignment="1">
      <alignment horizontal="left"/>
    </xf>
    <xf numFmtId="0" fontId="0" fillId="17" borderId="26" xfId="0" applyFill="1" applyBorder="1" applyAlignment="1">
      <alignment horizontal="center"/>
    </xf>
    <xf numFmtId="0" fontId="0" fillId="17" borderId="27" xfId="0" applyFill="1" applyBorder="1" applyAlignment="1">
      <alignment horizontal="center"/>
    </xf>
    <xf numFmtId="0" fontId="0" fillId="17" borderId="29" xfId="0" applyFill="1" applyBorder="1" applyAlignment="1">
      <alignment horizontal="center"/>
    </xf>
    <xf numFmtId="0" fontId="0" fillId="17" borderId="19" xfId="0" applyFill="1" applyBorder="1" applyAlignment="1">
      <alignment horizontal="center"/>
    </xf>
    <xf numFmtId="0" fontId="0" fillId="17" borderId="21" xfId="0" applyFill="1" applyBorder="1" applyAlignment="1">
      <alignment horizontal="center"/>
    </xf>
    <xf numFmtId="0" fontId="0" fillId="17" borderId="20" xfId="0" applyFill="1" applyBorder="1" applyAlignment="1">
      <alignment horizontal="center"/>
    </xf>
    <xf numFmtId="0" fontId="0" fillId="17" borderId="28" xfId="0" applyFill="1" applyBorder="1" applyAlignment="1">
      <alignment horizontal="center"/>
    </xf>
    <xf numFmtId="0" fontId="33" fillId="0" borderId="2" xfId="0" applyFont="1" applyBorder="1" applyAlignment="1">
      <alignment horizontal="left"/>
    </xf>
    <xf numFmtId="0" fontId="0" fillId="2" borderId="5" xfId="0" applyFill="1" applyBorder="1" applyAlignment="1">
      <alignment horizontal="center"/>
    </xf>
    <xf numFmtId="0" fontId="0" fillId="2" borderId="3" xfId="0" applyFill="1" applyBorder="1" applyAlignment="1">
      <alignment horizontal="center"/>
    </xf>
    <xf numFmtId="0" fontId="36" fillId="0" borderId="0" xfId="0" applyFont="1" applyFill="1" applyBorder="1" applyAlignment="1">
      <alignment/>
    </xf>
    <xf numFmtId="0" fontId="15" fillId="0" borderId="18" xfId="0" applyFont="1" applyFill="1" applyBorder="1" applyAlignment="1">
      <alignment/>
    </xf>
    <xf numFmtId="0" fontId="33" fillId="0" borderId="0" xfId="0" applyFont="1" applyFill="1" applyBorder="1" applyAlignment="1">
      <alignment/>
    </xf>
    <xf numFmtId="0" fontId="9" fillId="0" borderId="0" xfId="0" applyFont="1" applyFill="1" applyBorder="1" applyAlignment="1">
      <alignment horizontal="left"/>
    </xf>
    <xf numFmtId="0" fontId="15" fillId="2" borderId="24" xfId="0" applyFont="1" applyFill="1" applyBorder="1" applyAlignment="1">
      <alignment horizontal="center"/>
    </xf>
    <xf numFmtId="0" fontId="7" fillId="2" borderId="24" xfId="0" applyFont="1" applyFill="1" applyBorder="1" applyAlignment="1">
      <alignment horizontal="center"/>
    </xf>
    <xf numFmtId="0" fontId="13" fillId="0" borderId="0" xfId="0" applyFont="1" applyBorder="1" applyAlignment="1">
      <alignment/>
    </xf>
    <xf numFmtId="0" fontId="0" fillId="16" borderId="22" xfId="0" applyFont="1" applyFill="1" applyBorder="1" applyAlignment="1">
      <alignment/>
    </xf>
    <xf numFmtId="0" fontId="0" fillId="0" borderId="11" xfId="0" applyFill="1" applyBorder="1" applyAlignment="1">
      <alignment horizontal="center"/>
    </xf>
    <xf numFmtId="0" fontId="42" fillId="0" borderId="0" xfId="0" applyFont="1" applyBorder="1" applyAlignment="1">
      <alignment/>
    </xf>
    <xf numFmtId="0" fontId="0" fillId="17" borderId="22" xfId="0" applyFill="1" applyBorder="1" applyAlignment="1">
      <alignment horizontal="center"/>
    </xf>
    <xf numFmtId="0" fontId="43" fillId="0" borderId="3" xfId="0" applyFont="1" applyBorder="1" applyAlignment="1">
      <alignment/>
    </xf>
    <xf numFmtId="0" fontId="43" fillId="0" borderId="9" xfId="0" applyFont="1" applyBorder="1" applyAlignment="1">
      <alignment/>
    </xf>
    <xf numFmtId="0" fontId="43" fillId="0" borderId="11" xfId="0" applyFont="1" applyFill="1" applyBorder="1" applyAlignment="1">
      <alignment horizontal="center"/>
    </xf>
    <xf numFmtId="0" fontId="7" fillId="16" borderId="33" xfId="0" applyFont="1" applyFill="1" applyBorder="1" applyAlignment="1">
      <alignment horizontal="center"/>
    </xf>
    <xf numFmtId="0" fontId="15" fillId="16" borderId="10" xfId="0" applyFont="1" applyFill="1" applyBorder="1" applyAlignment="1">
      <alignment horizontal="center"/>
    </xf>
    <xf numFmtId="0" fontId="7" fillId="16" borderId="3" xfId="0" applyFont="1" applyFill="1" applyBorder="1" applyAlignment="1">
      <alignment horizontal="center"/>
    </xf>
    <xf numFmtId="0" fontId="7" fillId="16" borderId="8" xfId="0" applyFont="1" applyFill="1" applyBorder="1" applyAlignment="1">
      <alignment horizontal="center"/>
    </xf>
    <xf numFmtId="0" fontId="7" fillId="16" borderId="5" xfId="0" applyFont="1" applyFill="1" applyBorder="1" applyAlignment="1">
      <alignment horizontal="center"/>
    </xf>
    <xf numFmtId="0" fontId="7" fillId="16" borderId="2" xfId="0" applyFont="1" applyFill="1" applyBorder="1" applyAlignment="1">
      <alignment horizontal="center"/>
    </xf>
    <xf numFmtId="0" fontId="0" fillId="17" borderId="34" xfId="0" applyFill="1" applyBorder="1" applyAlignment="1">
      <alignment/>
    </xf>
    <xf numFmtId="0" fontId="0" fillId="17" borderId="35" xfId="0" applyFill="1" applyBorder="1" applyAlignment="1">
      <alignment/>
    </xf>
    <xf numFmtId="0" fontId="0" fillId="17" borderId="36" xfId="0" applyFill="1" applyBorder="1" applyAlignment="1">
      <alignment/>
    </xf>
    <xf numFmtId="0" fontId="0" fillId="17" borderId="37" xfId="0" applyFill="1" applyBorder="1" applyAlignment="1">
      <alignment/>
    </xf>
    <xf numFmtId="0" fontId="4" fillId="8" borderId="18" xfId="0" applyFont="1" applyFill="1" applyBorder="1" applyAlignment="1">
      <alignment horizontal="center"/>
    </xf>
    <xf numFmtId="0" fontId="4" fillId="16" borderId="18" xfId="0" applyFont="1" applyFill="1" applyBorder="1" applyAlignment="1">
      <alignment horizontal="center"/>
    </xf>
    <xf numFmtId="0" fontId="0" fillId="16" borderId="29" xfId="0" applyFill="1" applyBorder="1" applyAlignment="1">
      <alignment/>
    </xf>
    <xf numFmtId="0" fontId="44" fillId="0" borderId="2" xfId="0" applyFont="1" applyBorder="1" applyAlignment="1">
      <alignment/>
    </xf>
    <xf numFmtId="0" fontId="43" fillId="0" borderId="0" xfId="0" applyFont="1" applyBorder="1" applyAlignment="1">
      <alignment/>
    </xf>
    <xf numFmtId="0" fontId="43" fillId="0" borderId="0" xfId="0" applyFont="1" applyFill="1" applyBorder="1" applyAlignment="1">
      <alignment horizontal="center"/>
    </xf>
    <xf numFmtId="0" fontId="0" fillId="0" borderId="2" xfId="0" applyBorder="1" applyAlignment="1">
      <alignment horizontal="left"/>
    </xf>
    <xf numFmtId="0" fontId="45" fillId="16" borderId="0" xfId="0" applyFont="1" applyFill="1" applyAlignment="1">
      <alignment/>
    </xf>
    <xf numFmtId="0" fontId="46" fillId="16" borderId="0" xfId="0" applyFont="1" applyFill="1" applyAlignment="1">
      <alignment/>
    </xf>
    <xf numFmtId="0" fontId="43" fillId="16" borderId="0" xfId="0" applyFont="1" applyFill="1" applyAlignment="1">
      <alignment/>
    </xf>
    <xf numFmtId="0" fontId="0" fillId="16" borderId="0" xfId="0" applyFill="1" applyAlignment="1">
      <alignment vertical="top" wrapText="1"/>
    </xf>
    <xf numFmtId="0" fontId="15" fillId="16" borderId="0" xfId="0" applyFont="1" applyFill="1" applyAlignment="1">
      <alignment/>
    </xf>
    <xf numFmtId="0" fontId="15" fillId="16" borderId="3" xfId="0" applyFont="1" applyFill="1" applyBorder="1" applyAlignment="1">
      <alignment/>
    </xf>
    <xf numFmtId="0" fontId="15" fillId="16" borderId="9" xfId="0" applyFont="1" applyFill="1" applyBorder="1" applyAlignment="1">
      <alignment/>
    </xf>
    <xf numFmtId="0" fontId="7" fillId="16" borderId="10" xfId="0" applyFont="1" applyFill="1" applyBorder="1" applyAlignment="1">
      <alignment horizontal="center"/>
    </xf>
    <xf numFmtId="0" fontId="7" fillId="16" borderId="6" xfId="0" applyFont="1" applyFill="1" applyBorder="1" applyAlignment="1">
      <alignment horizontal="center"/>
    </xf>
    <xf numFmtId="0" fontId="7" fillId="16" borderId="0" xfId="0" applyFont="1" applyFill="1" applyAlignment="1">
      <alignment/>
    </xf>
    <xf numFmtId="0" fontId="57" fillId="16" borderId="0" xfId="0" applyFont="1" applyFill="1" applyAlignment="1">
      <alignment/>
    </xf>
    <xf numFmtId="0" fontId="58" fillId="16" borderId="0" xfId="0" applyFont="1" applyFill="1" applyAlignment="1">
      <alignment/>
    </xf>
    <xf numFmtId="0" fontId="59" fillId="16" borderId="0" xfId="0" applyFont="1" applyFill="1" applyAlignment="1">
      <alignment/>
    </xf>
    <xf numFmtId="0" fontId="60" fillId="16" borderId="0" xfId="0" applyFont="1" applyFill="1" applyAlignment="1">
      <alignment/>
    </xf>
    <xf numFmtId="0" fontId="9" fillId="16" borderId="18" xfId="0" applyFont="1" applyFill="1" applyBorder="1" applyAlignment="1">
      <alignment horizontal="center"/>
    </xf>
    <xf numFmtId="0" fontId="0" fillId="16" borderId="27" xfId="0" applyFill="1" applyBorder="1" applyAlignment="1">
      <alignment horizontal="center"/>
    </xf>
    <xf numFmtId="0" fontId="0" fillId="16" borderId="26" xfId="0" applyFill="1" applyBorder="1" applyAlignment="1">
      <alignment horizontal="center"/>
    </xf>
    <xf numFmtId="0" fontId="7" fillId="16" borderId="24" xfId="0" applyFont="1" applyFill="1" applyBorder="1" applyAlignment="1">
      <alignment horizontal="center"/>
    </xf>
    <xf numFmtId="0" fontId="18" fillId="16" borderId="22" xfId="0" applyFont="1" applyFill="1" applyBorder="1" applyAlignment="1">
      <alignment horizontal="right"/>
    </xf>
    <xf numFmtId="0" fontId="15" fillId="16" borderId="18" xfId="0" applyFont="1" applyFill="1" applyBorder="1" applyAlignment="1">
      <alignment horizontal="center"/>
    </xf>
    <xf numFmtId="0" fontId="7" fillId="16" borderId="22" xfId="0" applyFont="1" applyFill="1" applyBorder="1" applyAlignment="1">
      <alignment horizontal="center"/>
    </xf>
    <xf numFmtId="0" fontId="15" fillId="16" borderId="22" xfId="0" applyFont="1" applyFill="1" applyBorder="1" applyAlignment="1">
      <alignment horizontal="center"/>
    </xf>
    <xf numFmtId="0" fontId="15" fillId="16" borderId="11" xfId="0" applyFont="1" applyFill="1" applyBorder="1" applyAlignment="1">
      <alignment horizontal="center"/>
    </xf>
    <xf numFmtId="0" fontId="15" fillId="16" borderId="8" xfId="0" applyFont="1" applyFill="1" applyBorder="1" applyAlignment="1">
      <alignment horizontal="center"/>
    </xf>
    <xf numFmtId="0" fontId="7" fillId="16" borderId="6" xfId="0" applyFont="1" applyFill="1" applyBorder="1" applyAlignment="1">
      <alignment/>
    </xf>
    <xf numFmtId="0" fontId="15" fillId="16" borderId="5" xfId="0" applyFont="1" applyFill="1" applyBorder="1" applyAlignment="1">
      <alignment/>
    </xf>
    <xf numFmtId="0" fontId="15" fillId="16" borderId="0" xfId="0" applyFont="1" applyFill="1" applyBorder="1" applyAlignment="1">
      <alignment/>
    </xf>
    <xf numFmtId="0" fontId="15" fillId="16" borderId="4" xfId="0" applyFont="1" applyFill="1" applyBorder="1" applyAlignment="1">
      <alignment/>
    </xf>
    <xf numFmtId="0" fontId="15" fillId="16" borderId="3" xfId="0" applyFont="1" applyFill="1" applyBorder="1" applyAlignment="1">
      <alignment/>
    </xf>
    <xf numFmtId="0" fontId="7" fillId="16" borderId="2" xfId="0" applyFont="1" applyFill="1" applyBorder="1" applyAlignment="1">
      <alignment/>
    </xf>
    <xf numFmtId="0" fontId="15" fillId="16" borderId="2" xfId="0" applyFont="1" applyFill="1" applyBorder="1" applyAlignment="1">
      <alignment/>
    </xf>
    <xf numFmtId="0" fontId="15" fillId="16" borderId="5" xfId="0" applyFont="1" applyFill="1" applyBorder="1" applyAlignment="1">
      <alignment/>
    </xf>
    <xf numFmtId="0" fontId="15" fillId="16" borderId="2" xfId="0" applyFont="1" applyFill="1" applyBorder="1" applyAlignment="1">
      <alignment/>
    </xf>
    <xf numFmtId="0" fontId="54" fillId="16" borderId="5" xfId="0" applyFont="1" applyFill="1" applyBorder="1" applyAlignment="1">
      <alignment/>
    </xf>
    <xf numFmtId="0" fontId="15" fillId="16" borderId="6" xfId="0" applyFont="1" applyFill="1" applyBorder="1" applyAlignment="1">
      <alignment/>
    </xf>
    <xf numFmtId="0" fontId="54" fillId="16" borderId="0" xfId="0" applyFont="1" applyFill="1" applyBorder="1" applyAlignment="1">
      <alignment/>
    </xf>
    <xf numFmtId="0" fontId="64" fillId="16" borderId="0" xfId="0" applyFont="1" applyFill="1" applyAlignment="1">
      <alignment/>
    </xf>
    <xf numFmtId="0" fontId="15" fillId="16" borderId="0" xfId="0" applyFont="1" applyFill="1" applyBorder="1" applyAlignment="1">
      <alignment horizontal="center"/>
    </xf>
    <xf numFmtId="0" fontId="18" fillId="16" borderId="0" xfId="0" applyFont="1" applyFill="1" applyAlignment="1">
      <alignment horizontal="right"/>
    </xf>
    <xf numFmtId="0" fontId="18" fillId="16" borderId="0" xfId="0" applyFont="1" applyFill="1" applyBorder="1" applyAlignment="1">
      <alignment horizontal="left"/>
    </xf>
    <xf numFmtId="0" fontId="19" fillId="16" borderId="0" xfId="0" applyFont="1" applyFill="1" applyBorder="1" applyAlignment="1">
      <alignment horizontal="left"/>
    </xf>
    <xf numFmtId="0" fontId="65" fillId="16" borderId="0" xfId="0" applyFont="1" applyFill="1" applyBorder="1" applyAlignment="1">
      <alignment horizontal="center"/>
    </xf>
    <xf numFmtId="0" fontId="65" fillId="16" borderId="0" xfId="0" applyFont="1" applyFill="1" applyBorder="1" applyAlignment="1">
      <alignment horizontal="left"/>
    </xf>
    <xf numFmtId="2" fontId="7" fillId="16" borderId="0" xfId="0" applyNumberFormat="1" applyFont="1" applyFill="1" applyBorder="1" applyAlignment="1">
      <alignment horizontal="center"/>
    </xf>
    <xf numFmtId="0" fontId="15" fillId="16" borderId="22" xfId="0" applyFont="1" applyFill="1" applyBorder="1" applyAlignment="1">
      <alignment horizontal="center"/>
    </xf>
    <xf numFmtId="0" fontId="15" fillId="16" borderId="18" xfId="0" applyFont="1" applyFill="1" applyBorder="1" applyAlignment="1">
      <alignment/>
    </xf>
    <xf numFmtId="0" fontId="15" fillId="16" borderId="0" xfId="0" applyFont="1" applyFill="1" applyBorder="1" applyAlignment="1">
      <alignment/>
    </xf>
    <xf numFmtId="0" fontId="7" fillId="16" borderId="4" xfId="0" applyFont="1" applyFill="1" applyBorder="1" applyAlignment="1">
      <alignment horizontal="center"/>
    </xf>
    <xf numFmtId="0" fontId="15" fillId="16" borderId="7" xfId="0" applyFont="1" applyFill="1" applyBorder="1" applyAlignment="1">
      <alignment horizontal="center"/>
    </xf>
    <xf numFmtId="0" fontId="7" fillId="16" borderId="12" xfId="0" applyFont="1" applyFill="1" applyBorder="1" applyAlignment="1">
      <alignment horizontal="center"/>
    </xf>
    <xf numFmtId="0" fontId="7" fillId="16" borderId="38" xfId="0" applyFont="1" applyFill="1" applyBorder="1" applyAlignment="1">
      <alignment horizontal="center"/>
    </xf>
    <xf numFmtId="2" fontId="15" fillId="16" borderId="0" xfId="0" applyNumberFormat="1" applyFont="1" applyFill="1" applyBorder="1" applyAlignment="1">
      <alignment horizontal="center"/>
    </xf>
    <xf numFmtId="0" fontId="7" fillId="16" borderId="1" xfId="0" applyFont="1" applyFill="1" applyBorder="1" applyAlignment="1">
      <alignment/>
    </xf>
    <xf numFmtId="0" fontId="67" fillId="16" borderId="1" xfId="0" applyFont="1" applyFill="1" applyBorder="1" applyAlignment="1">
      <alignment/>
    </xf>
    <xf numFmtId="0" fontId="15" fillId="16" borderId="1" xfId="0" applyFont="1" applyFill="1" applyBorder="1" applyAlignment="1">
      <alignment/>
    </xf>
    <xf numFmtId="0" fontId="15" fillId="16" borderId="7" xfId="0" applyFont="1" applyFill="1" applyBorder="1" applyAlignment="1">
      <alignment/>
    </xf>
    <xf numFmtId="0" fontId="15" fillId="16" borderId="5" xfId="0" applyFont="1" applyFill="1" applyBorder="1" applyAlignment="1">
      <alignment horizontal="center"/>
    </xf>
    <xf numFmtId="0" fontId="7" fillId="16" borderId="9" xfId="0" applyFont="1" applyFill="1" applyBorder="1" applyAlignment="1">
      <alignment/>
    </xf>
    <xf numFmtId="0" fontId="15" fillId="16" borderId="9" xfId="0" applyFont="1" applyFill="1" applyBorder="1" applyAlignment="1">
      <alignment/>
    </xf>
    <xf numFmtId="0" fontId="15" fillId="16" borderId="11" xfId="0" applyFont="1" applyFill="1" applyBorder="1" applyAlignment="1">
      <alignment/>
    </xf>
    <xf numFmtId="0" fontId="68" fillId="16" borderId="0" xfId="0" applyFont="1" applyFill="1" applyBorder="1" applyAlignment="1">
      <alignment/>
    </xf>
    <xf numFmtId="0" fontId="15" fillId="16" borderId="2" xfId="0" applyFont="1" applyFill="1" applyBorder="1" applyAlignment="1">
      <alignment horizontal="center"/>
    </xf>
    <xf numFmtId="0" fontId="67" fillId="16" borderId="0" xfId="0" applyFont="1" applyFill="1" applyBorder="1" applyAlignment="1">
      <alignment/>
    </xf>
    <xf numFmtId="0" fontId="15" fillId="16" borderId="24" xfId="0" applyFont="1" applyFill="1" applyBorder="1" applyAlignment="1">
      <alignment horizontal="center"/>
    </xf>
    <xf numFmtId="0" fontId="15" fillId="16" borderId="10" xfId="0" applyFont="1" applyFill="1" applyBorder="1" applyAlignment="1">
      <alignment/>
    </xf>
    <xf numFmtId="0" fontId="18" fillId="16" borderId="0" xfId="0" applyFont="1" applyFill="1" applyBorder="1" applyAlignment="1">
      <alignment horizontal="center"/>
    </xf>
    <xf numFmtId="1" fontId="15" fillId="16" borderId="0" xfId="0" applyNumberFormat="1" applyFont="1" applyFill="1" applyBorder="1" applyAlignment="1">
      <alignment horizontal="center" wrapText="1"/>
    </xf>
    <xf numFmtId="0" fontId="15" fillId="16" borderId="25" xfId="0" applyFont="1" applyFill="1" applyBorder="1" applyAlignment="1">
      <alignment horizontal="center"/>
    </xf>
    <xf numFmtId="0" fontId="15" fillId="16" borderId="0" xfId="0" applyFont="1" applyFill="1" applyBorder="1" applyAlignment="1">
      <alignment/>
    </xf>
    <xf numFmtId="1" fontId="7" fillId="16" borderId="0" xfId="0" applyNumberFormat="1" applyFont="1" applyFill="1" applyBorder="1" applyAlignment="1">
      <alignment horizontal="center"/>
    </xf>
    <xf numFmtId="0" fontId="15" fillId="16" borderId="24" xfId="0" applyFont="1" applyFill="1" applyBorder="1" applyAlignment="1">
      <alignment horizontal="center"/>
    </xf>
    <xf numFmtId="0" fontId="7" fillId="16" borderId="0" xfId="0" applyFont="1" applyFill="1" applyAlignment="1">
      <alignment horizontal="center"/>
    </xf>
    <xf numFmtId="2" fontId="7" fillId="16" borderId="24" xfId="0" applyNumberFormat="1" applyFont="1" applyFill="1" applyBorder="1" applyAlignment="1">
      <alignment horizontal="center"/>
    </xf>
    <xf numFmtId="2" fontId="15" fillId="16" borderId="0" xfId="0" applyNumberFormat="1" applyFont="1" applyFill="1" applyBorder="1" applyAlignment="1">
      <alignment horizontal="center" wrapText="1"/>
    </xf>
    <xf numFmtId="0" fontId="15" fillId="16" borderId="8" xfId="0" applyFont="1" applyFill="1" applyBorder="1" applyAlignment="1">
      <alignment horizontal="center"/>
    </xf>
    <xf numFmtId="2" fontId="15" fillId="16" borderId="8" xfId="0" applyNumberFormat="1" applyFont="1" applyFill="1" applyBorder="1" applyAlignment="1">
      <alignment horizontal="center"/>
    </xf>
    <xf numFmtId="0" fontId="7" fillId="16" borderId="23" xfId="0" applyFont="1" applyFill="1" applyBorder="1" applyAlignment="1">
      <alignment horizontal="center"/>
    </xf>
    <xf numFmtId="0" fontId="7" fillId="16" borderId="7" xfId="0" applyFont="1" applyFill="1" applyBorder="1" applyAlignment="1">
      <alignment horizontal="center"/>
    </xf>
    <xf numFmtId="0" fontId="7" fillId="16" borderId="39" xfId="0" applyFont="1" applyFill="1" applyBorder="1" applyAlignment="1">
      <alignment horizontal="center"/>
    </xf>
    <xf numFmtId="0" fontId="7" fillId="16" borderId="18" xfId="0" applyFont="1" applyFill="1" applyBorder="1" applyAlignment="1">
      <alignment horizontal="center"/>
    </xf>
    <xf numFmtId="0" fontId="7" fillId="16" borderId="40" xfId="0" applyFont="1" applyFill="1" applyBorder="1" applyAlignment="1">
      <alignment horizontal="center"/>
    </xf>
    <xf numFmtId="0" fontId="7" fillId="16" borderId="11" xfId="0" applyFont="1" applyFill="1" applyBorder="1" applyAlignment="1">
      <alignment horizontal="center"/>
    </xf>
    <xf numFmtId="2" fontId="15" fillId="16" borderId="5" xfId="0" applyNumberFormat="1" applyFont="1" applyFill="1" applyBorder="1" applyAlignment="1">
      <alignment horizontal="center"/>
    </xf>
    <xf numFmtId="0" fontId="15" fillId="16" borderId="0" xfId="0" applyFont="1" applyFill="1" applyBorder="1" applyAlignment="1">
      <alignment horizontal="left"/>
    </xf>
    <xf numFmtId="0" fontId="7" fillId="16" borderId="0" xfId="0" applyFont="1" applyFill="1" applyBorder="1" applyAlignment="1">
      <alignment horizontal="left"/>
    </xf>
    <xf numFmtId="0" fontId="18" fillId="16" borderId="0" xfId="0" applyFont="1" applyFill="1" applyAlignment="1">
      <alignment/>
    </xf>
    <xf numFmtId="0" fontId="18" fillId="16" borderId="0" xfId="0" applyFont="1" applyFill="1" applyBorder="1" applyAlignment="1">
      <alignment/>
    </xf>
    <xf numFmtId="0" fontId="15" fillId="16" borderId="0" xfId="0" applyFont="1" applyFill="1" applyAlignment="1">
      <alignment/>
    </xf>
    <xf numFmtId="0" fontId="15" fillId="16" borderId="4" xfId="0" applyFont="1" applyFill="1" applyBorder="1" applyAlignment="1">
      <alignment horizontal="center"/>
    </xf>
    <xf numFmtId="2" fontId="15" fillId="16" borderId="7" xfId="0" applyNumberFormat="1" applyFont="1" applyFill="1" applyBorder="1" applyAlignment="1">
      <alignment horizontal="center"/>
    </xf>
    <xf numFmtId="2" fontId="15" fillId="16" borderId="18" xfId="0" applyNumberFormat="1" applyFont="1" applyFill="1" applyBorder="1" applyAlignment="1">
      <alignment horizontal="center"/>
    </xf>
    <xf numFmtId="2" fontId="15" fillId="16" borderId="11" xfId="0" applyNumberFormat="1" applyFont="1" applyFill="1" applyBorder="1" applyAlignment="1">
      <alignment horizontal="center"/>
    </xf>
    <xf numFmtId="2" fontId="15" fillId="16" borderId="8" xfId="0" applyNumberFormat="1" applyFont="1" applyFill="1" applyBorder="1" applyAlignment="1">
      <alignment horizontal="center"/>
    </xf>
    <xf numFmtId="0" fontId="18" fillId="16" borderId="0" xfId="0" applyFont="1" applyFill="1" applyBorder="1" applyAlignment="1">
      <alignment/>
    </xf>
    <xf numFmtId="2" fontId="15" fillId="16" borderId="0" xfId="0" applyNumberFormat="1" applyFont="1" applyFill="1" applyBorder="1" applyAlignment="1">
      <alignment horizontal="center"/>
    </xf>
    <xf numFmtId="2" fontId="7" fillId="16" borderId="8" xfId="0" applyNumberFormat="1" applyFont="1" applyFill="1" applyBorder="1" applyAlignment="1">
      <alignment horizontal="center"/>
    </xf>
    <xf numFmtId="0" fontId="15" fillId="16" borderId="10" xfId="0" applyFont="1" applyFill="1" applyBorder="1" applyAlignment="1">
      <alignment horizontal="center"/>
    </xf>
    <xf numFmtId="0" fontId="7" fillId="16" borderId="12" xfId="0" applyFont="1" applyFill="1" applyBorder="1" applyAlignment="1">
      <alignment horizontal="center"/>
    </xf>
    <xf numFmtId="0" fontId="7" fillId="16" borderId="38" xfId="0" applyFont="1" applyFill="1" applyBorder="1" applyAlignment="1">
      <alignment horizontal="center"/>
    </xf>
    <xf numFmtId="0" fontId="18" fillId="16" borderId="2" xfId="0" applyFont="1" applyFill="1" applyBorder="1" applyAlignment="1">
      <alignment horizontal="center"/>
    </xf>
    <xf numFmtId="0" fontId="7" fillId="16" borderId="41" xfId="0" applyFont="1" applyFill="1" applyBorder="1" applyAlignment="1">
      <alignment horizontal="center"/>
    </xf>
    <xf numFmtId="0" fontId="7" fillId="16" borderId="16" xfId="0" applyFont="1" applyFill="1" applyBorder="1" applyAlignment="1">
      <alignment horizontal="center"/>
    </xf>
    <xf numFmtId="2" fontId="7" fillId="16" borderId="3" xfId="0" applyNumberFormat="1" applyFont="1" applyFill="1" applyBorder="1" applyAlignment="1">
      <alignment horizontal="center"/>
    </xf>
    <xf numFmtId="2" fontId="15" fillId="16" borderId="22" xfId="0" applyNumberFormat="1" applyFont="1" applyFill="1" applyBorder="1" applyAlignment="1">
      <alignment horizontal="center"/>
    </xf>
    <xf numFmtId="2" fontId="15" fillId="16" borderId="2" xfId="0" applyNumberFormat="1" applyFont="1" applyFill="1" applyBorder="1" applyAlignment="1">
      <alignment horizontal="center"/>
    </xf>
    <xf numFmtId="0" fontId="15" fillId="16" borderId="20" xfId="0" applyFont="1" applyFill="1" applyBorder="1" applyAlignment="1">
      <alignment horizontal="center" wrapText="1"/>
    </xf>
    <xf numFmtId="2" fontId="15" fillId="16" borderId="20" xfId="0" applyNumberFormat="1" applyFont="1" applyFill="1" applyBorder="1" applyAlignment="1">
      <alignment horizontal="center" wrapText="1"/>
    </xf>
    <xf numFmtId="2" fontId="7" fillId="16" borderId="5" xfId="0" applyNumberFormat="1" applyFont="1" applyFill="1" applyBorder="1" applyAlignment="1">
      <alignment horizontal="center"/>
    </xf>
    <xf numFmtId="2" fontId="15" fillId="16" borderId="4" xfId="0" applyNumberFormat="1" applyFont="1" applyFill="1" applyBorder="1" applyAlignment="1">
      <alignment horizontal="center"/>
    </xf>
    <xf numFmtId="2" fontId="15" fillId="16" borderId="3" xfId="0" applyNumberFormat="1" applyFont="1" applyFill="1" applyBorder="1" applyAlignment="1">
      <alignment horizontal="center"/>
    </xf>
    <xf numFmtId="2" fontId="15" fillId="16" borderId="24" xfId="0" applyNumberFormat="1" applyFont="1" applyFill="1" applyBorder="1" applyAlignment="1">
      <alignment horizontal="center"/>
    </xf>
    <xf numFmtId="2" fontId="7" fillId="16" borderId="21" xfId="0" applyNumberFormat="1" applyFont="1" applyFill="1" applyBorder="1" applyAlignment="1">
      <alignment horizontal="center" wrapText="1"/>
    </xf>
    <xf numFmtId="0" fontId="18" fillId="16" borderId="0" xfId="0" applyFont="1" applyFill="1" applyAlignment="1">
      <alignment horizontal="center"/>
    </xf>
    <xf numFmtId="0" fontId="18" fillId="16" borderId="0" xfId="0" applyFont="1" applyFill="1" applyAlignment="1">
      <alignment/>
    </xf>
    <xf numFmtId="0" fontId="15" fillId="16" borderId="23" xfId="0" applyFont="1" applyFill="1" applyBorder="1" applyAlignment="1">
      <alignment horizontal="center"/>
    </xf>
    <xf numFmtId="0" fontId="18" fillId="16" borderId="5" xfId="0" applyFont="1" applyFill="1" applyBorder="1" applyAlignment="1">
      <alignment horizontal="center"/>
    </xf>
    <xf numFmtId="0" fontId="18" fillId="16" borderId="24" xfId="0" applyFont="1" applyFill="1" applyBorder="1" applyAlignment="1">
      <alignment horizontal="center"/>
    </xf>
    <xf numFmtId="0" fontId="18" fillId="16" borderId="30" xfId="0" applyFont="1" applyFill="1" applyBorder="1" applyAlignment="1">
      <alignment/>
    </xf>
    <xf numFmtId="1" fontId="15" fillId="16" borderId="20" xfId="0" applyNumberFormat="1" applyFont="1" applyFill="1" applyBorder="1" applyAlignment="1">
      <alignment horizontal="center" wrapText="1"/>
    </xf>
    <xf numFmtId="0" fontId="15" fillId="16" borderId="25" xfId="0" applyFont="1" applyFill="1" applyBorder="1" applyAlignment="1">
      <alignment horizontal="center" wrapText="1"/>
    </xf>
    <xf numFmtId="2" fontId="15" fillId="16" borderId="25" xfId="0" applyNumberFormat="1" applyFont="1" applyFill="1" applyBorder="1" applyAlignment="1">
      <alignment horizontal="center" wrapText="1"/>
    </xf>
    <xf numFmtId="1" fontId="7" fillId="16" borderId="5" xfId="0" applyNumberFormat="1" applyFont="1" applyFill="1" applyBorder="1" applyAlignment="1">
      <alignment horizontal="center"/>
    </xf>
    <xf numFmtId="2" fontId="15" fillId="16" borderId="0" xfId="0" applyNumberFormat="1" applyFont="1" applyFill="1" applyBorder="1" applyAlignment="1">
      <alignment/>
    </xf>
    <xf numFmtId="0" fontId="15" fillId="16" borderId="0" xfId="0" applyFont="1" applyFill="1" applyBorder="1" applyAlignment="1">
      <alignment wrapText="1"/>
    </xf>
    <xf numFmtId="2" fontId="15" fillId="16" borderId="0" xfId="0" applyNumberFormat="1" applyFont="1" applyFill="1" applyBorder="1" applyAlignment="1">
      <alignment wrapText="1"/>
    </xf>
    <xf numFmtId="0" fontId="15" fillId="16" borderId="30" xfId="0" applyFont="1" applyFill="1" applyBorder="1" applyAlignment="1">
      <alignment horizontal="center" wrapText="1"/>
    </xf>
    <xf numFmtId="2" fontId="15" fillId="16" borderId="0" xfId="0" applyNumberFormat="1" applyFont="1" applyFill="1" applyBorder="1" applyAlignment="1">
      <alignment shrinkToFit="1"/>
    </xf>
    <xf numFmtId="2" fontId="15" fillId="16" borderId="21" xfId="0" applyNumberFormat="1" applyFont="1" applyFill="1" applyBorder="1" applyAlignment="1">
      <alignment horizontal="center" wrapText="1"/>
    </xf>
    <xf numFmtId="2" fontId="7" fillId="16" borderId="26" xfId="0" applyNumberFormat="1" applyFont="1" applyFill="1" applyBorder="1" applyAlignment="1">
      <alignment horizontal="center" wrapText="1"/>
    </xf>
    <xf numFmtId="2" fontId="15" fillId="16" borderId="24" xfId="0" applyNumberFormat="1" applyFont="1" applyFill="1" applyBorder="1" applyAlignment="1">
      <alignment horizontal="center"/>
    </xf>
    <xf numFmtId="0" fontId="7" fillId="16" borderId="0" xfId="0" applyFont="1" applyFill="1" applyBorder="1" applyAlignment="1">
      <alignment/>
    </xf>
    <xf numFmtId="0" fontId="18" fillId="16" borderId="0" xfId="0" applyFont="1" applyFill="1" applyAlignment="1">
      <alignment/>
    </xf>
    <xf numFmtId="0" fontId="7" fillId="16" borderId="0" xfId="0" applyFont="1" applyFill="1" applyBorder="1" applyAlignment="1">
      <alignment horizontal="center"/>
    </xf>
    <xf numFmtId="0" fontId="7" fillId="16" borderId="18" xfId="0" applyFont="1" applyFill="1" applyBorder="1" applyAlignment="1">
      <alignment horizontal="center"/>
    </xf>
    <xf numFmtId="0" fontId="7" fillId="16" borderId="11" xfId="0" applyFont="1" applyFill="1" applyBorder="1" applyAlignment="1">
      <alignment horizontal="center"/>
    </xf>
    <xf numFmtId="0" fontId="18" fillId="16" borderId="24" xfId="0" applyFont="1" applyFill="1" applyBorder="1" applyAlignment="1">
      <alignment horizontal="center"/>
    </xf>
    <xf numFmtId="0" fontId="18" fillId="16" borderId="30" xfId="0" applyFont="1" applyFill="1" applyBorder="1" applyAlignment="1">
      <alignment/>
    </xf>
    <xf numFmtId="2" fontId="7" fillId="16" borderId="3" xfId="0" applyNumberFormat="1" applyFont="1" applyFill="1" applyBorder="1" applyAlignment="1">
      <alignment horizontal="center"/>
    </xf>
    <xf numFmtId="1" fontId="7" fillId="16" borderId="5" xfId="0" applyNumberFormat="1" applyFont="1" applyFill="1" applyBorder="1" applyAlignment="1">
      <alignment horizontal="center"/>
    </xf>
    <xf numFmtId="2" fontId="7" fillId="16" borderId="5" xfId="0" applyNumberFormat="1" applyFont="1" applyFill="1" applyBorder="1" applyAlignment="1">
      <alignment horizontal="center"/>
    </xf>
    <xf numFmtId="2" fontId="7" fillId="16" borderId="26" xfId="0" applyNumberFormat="1" applyFont="1" applyFill="1" applyBorder="1" applyAlignment="1">
      <alignment horizontal="center" wrapText="1"/>
    </xf>
    <xf numFmtId="0" fontId="7" fillId="16" borderId="0" xfId="0" applyFont="1" applyFill="1" applyAlignment="1">
      <alignment horizontal="center"/>
    </xf>
    <xf numFmtId="0" fontId="18" fillId="16" borderId="0" xfId="0" applyFont="1" applyFill="1" applyAlignment="1">
      <alignment horizontal="center"/>
    </xf>
    <xf numFmtId="2" fontId="15" fillId="16" borderId="23" xfId="0" applyNumberFormat="1" applyFont="1" applyFill="1" applyBorder="1" applyAlignment="1">
      <alignment horizontal="center"/>
    </xf>
    <xf numFmtId="0" fontId="15" fillId="16" borderId="3" xfId="0" applyFont="1" applyFill="1" applyBorder="1" applyAlignment="1">
      <alignment horizontal="center"/>
    </xf>
    <xf numFmtId="0" fontId="18" fillId="16" borderId="2" xfId="0" applyFont="1" applyFill="1" applyBorder="1" applyAlignment="1">
      <alignment horizontal="left"/>
    </xf>
    <xf numFmtId="2" fontId="15" fillId="16" borderId="22" xfId="0" applyNumberFormat="1" applyFont="1" applyFill="1" applyBorder="1" applyAlignment="1">
      <alignment horizontal="center"/>
    </xf>
    <xf numFmtId="2" fontId="15" fillId="16" borderId="23" xfId="0" applyNumberFormat="1" applyFont="1" applyFill="1" applyBorder="1" applyAlignment="1">
      <alignment horizontal="center"/>
    </xf>
    <xf numFmtId="0" fontId="18" fillId="16" borderId="3" xfId="0" applyFont="1" applyFill="1" applyBorder="1" applyAlignment="1">
      <alignment horizontal="left"/>
    </xf>
    <xf numFmtId="0" fontId="19" fillId="16" borderId="9" xfId="0" applyFont="1" applyFill="1" applyBorder="1" applyAlignment="1">
      <alignment horizontal="left"/>
    </xf>
    <xf numFmtId="0" fontId="18" fillId="16" borderId="0" xfId="0" applyFont="1" applyFill="1" applyAlignment="1">
      <alignment/>
    </xf>
    <xf numFmtId="2" fontId="7" fillId="16" borderId="23" xfId="0" applyNumberFormat="1" applyFont="1" applyFill="1" applyBorder="1" applyAlignment="1">
      <alignment horizontal="center"/>
    </xf>
    <xf numFmtId="2" fontId="7" fillId="16" borderId="22" xfId="0" applyNumberFormat="1" applyFont="1" applyFill="1" applyBorder="1" applyAlignment="1">
      <alignment horizontal="center"/>
    </xf>
    <xf numFmtId="0" fontId="16" fillId="16" borderId="0" xfId="0" applyFont="1" applyFill="1" applyAlignment="1">
      <alignment horizontal="justify"/>
    </xf>
    <xf numFmtId="0" fontId="67" fillId="16" borderId="0" xfId="0" applyFont="1" applyFill="1" applyAlignment="1">
      <alignment/>
    </xf>
    <xf numFmtId="0" fontId="16" fillId="16" borderId="0" xfId="0" applyFont="1" applyFill="1" applyAlignment="1">
      <alignment/>
    </xf>
    <xf numFmtId="0" fontId="69" fillId="16" borderId="5" xfId="0" applyFont="1" applyFill="1" applyBorder="1" applyAlignment="1">
      <alignment horizontal="center" vertical="top" wrapText="1"/>
    </xf>
    <xf numFmtId="0" fontId="70" fillId="16" borderId="3" xfId="0" applyFont="1" applyFill="1" applyBorder="1" applyAlignment="1">
      <alignment horizontal="center" wrapText="1"/>
    </xf>
    <xf numFmtId="0" fontId="70" fillId="16" borderId="4" xfId="0" applyFont="1" applyFill="1" applyBorder="1" applyAlignment="1">
      <alignment horizontal="center" wrapText="1"/>
    </xf>
    <xf numFmtId="0" fontId="70" fillId="16" borderId="5" xfId="0" applyFont="1" applyFill="1" applyBorder="1" applyAlignment="1">
      <alignment horizontal="center" wrapText="1"/>
    </xf>
    <xf numFmtId="0" fontId="7" fillId="16" borderId="23" xfId="0" applyFont="1" applyFill="1" applyBorder="1" applyAlignment="1">
      <alignment/>
    </xf>
    <xf numFmtId="0" fontId="7" fillId="16" borderId="1" xfId="0" applyFont="1" applyFill="1" applyBorder="1" applyAlignment="1">
      <alignment horizontal="center"/>
    </xf>
    <xf numFmtId="0" fontId="7" fillId="16" borderId="34" xfId="0" applyFont="1" applyFill="1" applyBorder="1" applyAlignment="1">
      <alignment horizontal="center"/>
    </xf>
    <xf numFmtId="0" fontId="7" fillId="16" borderId="42" xfId="0" applyFont="1" applyFill="1" applyBorder="1" applyAlignment="1">
      <alignment horizontal="center"/>
    </xf>
    <xf numFmtId="0" fontId="7" fillId="16" borderId="35" xfId="0" applyFont="1" applyFill="1" applyBorder="1" applyAlignment="1">
      <alignment horizontal="center"/>
    </xf>
    <xf numFmtId="0" fontId="7" fillId="16" borderId="5" xfId="0" applyFont="1" applyFill="1" applyBorder="1" applyAlignment="1">
      <alignment/>
    </xf>
    <xf numFmtId="0" fontId="7" fillId="16" borderId="36" xfId="0" applyFont="1" applyFill="1" applyBorder="1" applyAlignment="1">
      <alignment horizontal="center"/>
    </xf>
    <xf numFmtId="0" fontId="7" fillId="16" borderId="43" xfId="0" applyFont="1" applyFill="1" applyBorder="1" applyAlignment="1">
      <alignment horizontal="center"/>
    </xf>
    <xf numFmtId="0" fontId="7" fillId="16" borderId="37" xfId="0" applyFont="1" applyFill="1" applyBorder="1" applyAlignment="1">
      <alignment horizontal="center"/>
    </xf>
    <xf numFmtId="0" fontId="15" fillId="16" borderId="36" xfId="0" applyFont="1" applyFill="1" applyBorder="1" applyAlignment="1">
      <alignment horizontal="center"/>
    </xf>
    <xf numFmtId="0" fontId="15" fillId="16" borderId="43" xfId="0" applyFont="1" applyFill="1" applyBorder="1" applyAlignment="1">
      <alignment horizontal="center"/>
    </xf>
    <xf numFmtId="0" fontId="15" fillId="16" borderId="37" xfId="0" applyFont="1" applyFill="1" applyBorder="1" applyAlignment="1">
      <alignment horizontal="center"/>
    </xf>
    <xf numFmtId="0" fontId="15" fillId="16" borderId="14" xfId="0" applyFont="1" applyFill="1" applyBorder="1" applyAlignment="1">
      <alignment horizontal="center"/>
    </xf>
    <xf numFmtId="0" fontId="15" fillId="16" borderId="44" xfId="0" applyFont="1" applyFill="1" applyBorder="1" applyAlignment="1">
      <alignment horizontal="center"/>
    </xf>
    <xf numFmtId="0" fontId="15" fillId="16" borderId="17" xfId="0" applyFont="1" applyFill="1" applyBorder="1" applyAlignment="1">
      <alignment horizontal="center"/>
    </xf>
    <xf numFmtId="0" fontId="72" fillId="16" borderId="0" xfId="0" applyFont="1" applyFill="1" applyBorder="1" applyAlignment="1">
      <alignment horizontal="center"/>
    </xf>
    <xf numFmtId="0" fontId="7" fillId="16" borderId="4" xfId="0" applyFont="1" applyFill="1" applyBorder="1" applyAlignment="1">
      <alignment horizontal="center"/>
    </xf>
    <xf numFmtId="0" fontId="7" fillId="16" borderId="23" xfId="0" applyFont="1" applyFill="1" applyBorder="1" applyAlignment="1">
      <alignment horizontal="center"/>
    </xf>
    <xf numFmtId="0" fontId="7" fillId="16" borderId="1" xfId="0" applyFont="1" applyFill="1" applyBorder="1" applyAlignment="1">
      <alignment horizontal="center"/>
    </xf>
    <xf numFmtId="0" fontId="7" fillId="16" borderId="42" xfId="0" applyFont="1" applyFill="1" applyBorder="1" applyAlignment="1">
      <alignment horizontal="center"/>
    </xf>
    <xf numFmtId="0" fontId="7" fillId="16" borderId="35" xfId="0" applyFont="1" applyFill="1" applyBorder="1" applyAlignment="1">
      <alignment horizontal="center"/>
    </xf>
    <xf numFmtId="0" fontId="7" fillId="16" borderId="43" xfId="0" applyFont="1" applyFill="1" applyBorder="1" applyAlignment="1">
      <alignment horizontal="center"/>
    </xf>
    <xf numFmtId="0" fontId="7" fillId="16" borderId="37" xfId="0" applyFont="1" applyFill="1" applyBorder="1" applyAlignment="1">
      <alignment horizontal="center"/>
    </xf>
    <xf numFmtId="0" fontId="7" fillId="16" borderId="24" xfId="0" applyFont="1" applyFill="1" applyBorder="1" applyAlignment="1">
      <alignment horizontal="center"/>
    </xf>
    <xf numFmtId="0" fontId="19" fillId="16" borderId="0" xfId="0" applyFont="1" applyFill="1" applyBorder="1" applyAlignment="1">
      <alignment horizontal="center"/>
    </xf>
    <xf numFmtId="0" fontId="69" fillId="16" borderId="0" xfId="0" applyFont="1" applyFill="1" applyBorder="1" applyAlignment="1">
      <alignment horizontal="center" vertical="top" wrapText="1"/>
    </xf>
    <xf numFmtId="0" fontId="7" fillId="16" borderId="19" xfId="0" applyFont="1" applyFill="1" applyBorder="1" applyAlignment="1">
      <alignment horizontal="center"/>
    </xf>
    <xf numFmtId="0" fontId="7" fillId="16" borderId="45" xfId="0" applyFont="1" applyFill="1" applyBorder="1" applyAlignment="1">
      <alignment horizontal="center"/>
    </xf>
    <xf numFmtId="0" fontId="7" fillId="16" borderId="20" xfId="0" applyFont="1" applyFill="1" applyBorder="1" applyAlignment="1">
      <alignment horizontal="center"/>
    </xf>
    <xf numFmtId="0" fontId="15" fillId="16" borderId="20" xfId="0" applyFont="1" applyFill="1" applyBorder="1" applyAlignment="1">
      <alignment horizontal="center"/>
    </xf>
    <xf numFmtId="0" fontId="15" fillId="16" borderId="21" xfId="0" applyFont="1" applyFill="1" applyBorder="1" applyAlignment="1">
      <alignment horizontal="center"/>
    </xf>
    <xf numFmtId="0" fontId="15" fillId="16" borderId="0" xfId="0" applyFont="1" applyFill="1" applyAlignment="1">
      <alignment vertical="center" wrapText="1"/>
    </xf>
    <xf numFmtId="0" fontId="71" fillId="16" borderId="1" xfId="0" applyFont="1" applyFill="1" applyBorder="1" applyAlignment="1">
      <alignment horizontal="center"/>
    </xf>
    <xf numFmtId="0" fontId="18" fillId="16" borderId="23" xfId="0" applyFont="1" applyFill="1" applyBorder="1" applyAlignment="1">
      <alignment horizontal="center"/>
    </xf>
    <xf numFmtId="0" fontId="7" fillId="16" borderId="46" xfId="0" applyFont="1" applyFill="1" applyBorder="1" applyAlignment="1">
      <alignment horizontal="center"/>
    </xf>
    <xf numFmtId="0" fontId="7" fillId="16" borderId="30" xfId="0" applyFont="1" applyFill="1" applyBorder="1" applyAlignment="1">
      <alignment horizontal="center"/>
    </xf>
    <xf numFmtId="0" fontId="7" fillId="16" borderId="47" xfId="0" applyFont="1" applyFill="1" applyBorder="1" applyAlignment="1">
      <alignment horizontal="center"/>
    </xf>
    <xf numFmtId="0" fontId="7" fillId="16" borderId="48" xfId="0" applyFont="1" applyFill="1" applyBorder="1" applyAlignment="1">
      <alignment horizontal="center"/>
    </xf>
    <xf numFmtId="0" fontId="7" fillId="16" borderId="25" xfId="0" applyFont="1" applyFill="1" applyBorder="1" applyAlignment="1">
      <alignment horizontal="center"/>
    </xf>
    <xf numFmtId="0" fontId="7" fillId="16" borderId="49" xfId="0" applyFont="1" applyFill="1" applyBorder="1" applyAlignment="1">
      <alignment horizontal="center"/>
    </xf>
    <xf numFmtId="0" fontId="7" fillId="16" borderId="50" xfId="0" applyFont="1" applyFill="1" applyBorder="1" applyAlignment="1">
      <alignment horizontal="center"/>
    </xf>
    <xf numFmtId="0" fontId="15" fillId="16" borderId="50" xfId="0" applyFont="1" applyFill="1" applyBorder="1" applyAlignment="1">
      <alignment horizontal="center"/>
    </xf>
    <xf numFmtId="0" fontId="15" fillId="16" borderId="49" xfId="0" applyFont="1" applyFill="1" applyBorder="1" applyAlignment="1">
      <alignment horizontal="center"/>
    </xf>
    <xf numFmtId="0" fontId="15" fillId="16" borderId="2" xfId="0" applyFont="1" applyFill="1" applyBorder="1" applyAlignment="1">
      <alignment/>
    </xf>
    <xf numFmtId="0" fontId="7" fillId="16" borderId="41" xfId="0" applyFont="1" applyFill="1" applyBorder="1" applyAlignment="1">
      <alignment horizontal="center"/>
    </xf>
    <xf numFmtId="0" fontId="7" fillId="16" borderId="16" xfId="0" applyFont="1" applyFill="1" applyBorder="1" applyAlignment="1">
      <alignment horizontal="center"/>
    </xf>
    <xf numFmtId="0" fontId="7" fillId="16" borderId="15" xfId="0" applyFont="1" applyFill="1" applyBorder="1" applyAlignment="1">
      <alignment horizontal="center"/>
    </xf>
    <xf numFmtId="0" fontId="15" fillId="16" borderId="50" xfId="0" applyFont="1" applyFill="1" applyBorder="1" applyAlignment="1">
      <alignment/>
    </xf>
    <xf numFmtId="0" fontId="15" fillId="16" borderId="51" xfId="0" applyFont="1" applyFill="1" applyBorder="1" applyAlignment="1">
      <alignment/>
    </xf>
    <xf numFmtId="0" fontId="65" fillId="16" borderId="51" xfId="0" applyFont="1" applyFill="1" applyBorder="1" applyAlignment="1">
      <alignment horizontal="center"/>
    </xf>
    <xf numFmtId="0" fontId="65" fillId="16" borderId="43" xfId="0" applyFont="1" applyFill="1" applyBorder="1" applyAlignment="1">
      <alignment horizontal="center"/>
    </xf>
    <xf numFmtId="0" fontId="18" fillId="16" borderId="43" xfId="0" applyFont="1" applyFill="1" applyBorder="1" applyAlignment="1">
      <alignment horizontal="left"/>
    </xf>
    <xf numFmtId="0" fontId="19" fillId="16" borderId="52" xfId="0" applyFont="1" applyFill="1" applyBorder="1" applyAlignment="1">
      <alignment/>
    </xf>
    <xf numFmtId="0" fontId="15" fillId="16" borderId="52" xfId="0" applyFont="1" applyFill="1" applyBorder="1" applyAlignment="1">
      <alignment/>
    </xf>
    <xf numFmtId="0" fontId="19" fillId="16" borderId="0" xfId="0" applyFont="1" applyFill="1" applyAlignment="1">
      <alignment/>
    </xf>
    <xf numFmtId="0" fontId="7" fillId="16" borderId="43" xfId="0" applyFont="1" applyFill="1" applyBorder="1" applyAlignment="1">
      <alignment horizontal="left"/>
    </xf>
    <xf numFmtId="0" fontId="15" fillId="16" borderId="43" xfId="0" applyFont="1" applyFill="1" applyBorder="1" applyAlignment="1">
      <alignment/>
    </xf>
    <xf numFmtId="0" fontId="15" fillId="16" borderId="53" xfId="0" applyFont="1" applyFill="1" applyBorder="1" applyAlignment="1">
      <alignment/>
    </xf>
    <xf numFmtId="2" fontId="15" fillId="16" borderId="43" xfId="0" applyNumberFormat="1" applyFont="1" applyFill="1" applyBorder="1" applyAlignment="1">
      <alignment horizontal="center"/>
    </xf>
    <xf numFmtId="0" fontId="7" fillId="16" borderId="43" xfId="0" applyFont="1" applyFill="1" applyBorder="1" applyAlignment="1">
      <alignment horizontal="right"/>
    </xf>
    <xf numFmtId="2" fontId="7" fillId="16" borderId="43" xfId="0" applyNumberFormat="1" applyFont="1" applyFill="1" applyBorder="1" applyAlignment="1">
      <alignment horizontal="center"/>
    </xf>
    <xf numFmtId="2" fontId="7" fillId="16" borderId="45" xfId="0" applyNumberFormat="1" applyFont="1" applyFill="1" applyBorder="1" applyAlignment="1">
      <alignment horizontal="center"/>
    </xf>
    <xf numFmtId="0" fontId="7" fillId="16" borderId="54" xfId="0" applyFont="1" applyFill="1" applyBorder="1" applyAlignment="1">
      <alignment horizontal="center"/>
    </xf>
    <xf numFmtId="2" fontId="7" fillId="16" borderId="52" xfId="0" applyNumberFormat="1" applyFont="1" applyFill="1" applyBorder="1" applyAlignment="1">
      <alignment horizontal="center"/>
    </xf>
    <xf numFmtId="0" fontId="7" fillId="16" borderId="52" xfId="0" applyFont="1" applyFill="1" applyBorder="1" applyAlignment="1">
      <alignment horizontal="center"/>
    </xf>
    <xf numFmtId="0" fontId="18" fillId="16" borderId="18" xfId="0" applyFont="1" applyFill="1" applyBorder="1" applyAlignment="1">
      <alignment/>
    </xf>
    <xf numFmtId="0" fontId="74" fillId="16" borderId="0" xfId="0" applyFont="1" applyFill="1" applyBorder="1" applyAlignment="1">
      <alignment/>
    </xf>
    <xf numFmtId="2" fontId="15" fillId="16" borderId="0" xfId="0" applyNumberFormat="1" applyFont="1" applyFill="1" applyAlignment="1">
      <alignment horizontal="center"/>
    </xf>
    <xf numFmtId="0" fontId="7" fillId="16" borderId="0" xfId="0" applyFont="1" applyFill="1" applyAlignment="1">
      <alignment/>
    </xf>
    <xf numFmtId="0" fontId="18" fillId="16" borderId="2" xfId="0" applyFont="1" applyFill="1" applyBorder="1" applyAlignment="1">
      <alignment horizontal="center"/>
    </xf>
    <xf numFmtId="0" fontId="18" fillId="16" borderId="0" xfId="0" applyFont="1" applyFill="1" applyBorder="1" applyAlignment="1">
      <alignment horizontal="center"/>
    </xf>
    <xf numFmtId="0" fontId="18" fillId="16" borderId="0" xfId="0" applyFont="1" applyFill="1" applyBorder="1" applyAlignment="1">
      <alignment/>
    </xf>
    <xf numFmtId="0" fontId="18" fillId="16" borderId="13" xfId="0" applyFont="1" applyFill="1" applyBorder="1" applyAlignment="1">
      <alignment horizontal="center"/>
    </xf>
    <xf numFmtId="2" fontId="7" fillId="16" borderId="8" xfId="0" applyNumberFormat="1" applyFont="1" applyFill="1" applyBorder="1" applyAlignment="1">
      <alignment horizontal="center"/>
    </xf>
    <xf numFmtId="0" fontId="15" fillId="16" borderId="34" xfId="0" applyFont="1" applyFill="1" applyBorder="1" applyAlignment="1">
      <alignment wrapText="1"/>
    </xf>
    <xf numFmtId="0" fontId="15" fillId="16" borderId="42" xfId="0" applyFont="1" applyFill="1" applyBorder="1" applyAlignment="1">
      <alignment wrapText="1"/>
    </xf>
    <xf numFmtId="0" fontId="15" fillId="16" borderId="35" xfId="0" applyFont="1" applyFill="1" applyBorder="1" applyAlignment="1">
      <alignment wrapText="1"/>
    </xf>
    <xf numFmtId="0" fontId="15" fillId="16" borderId="36" xfId="0" applyFont="1" applyFill="1" applyBorder="1" applyAlignment="1">
      <alignment wrapText="1"/>
    </xf>
    <xf numFmtId="0" fontId="15" fillId="16" borderId="43" xfId="0" applyFont="1" applyFill="1" applyBorder="1" applyAlignment="1">
      <alignment wrapText="1"/>
    </xf>
    <xf numFmtId="0" fontId="15" fillId="16" borderId="37" xfId="0" applyFont="1" applyFill="1" applyBorder="1" applyAlignment="1">
      <alignment wrapText="1"/>
    </xf>
    <xf numFmtId="2" fontId="15" fillId="16" borderId="43" xfId="0" applyNumberFormat="1" applyFont="1" applyFill="1" applyBorder="1" applyAlignment="1">
      <alignment wrapText="1"/>
    </xf>
    <xf numFmtId="2" fontId="19" fillId="16" borderId="43" xfId="0" applyNumberFormat="1" applyFont="1" applyFill="1" applyBorder="1" applyAlignment="1">
      <alignment wrapText="1"/>
    </xf>
    <xf numFmtId="2" fontId="7" fillId="16" borderId="24" xfId="0" applyNumberFormat="1" applyFont="1" applyFill="1" applyBorder="1" applyAlignment="1">
      <alignment horizontal="center"/>
    </xf>
    <xf numFmtId="0" fontId="15" fillId="16" borderId="51" xfId="0" applyFont="1" applyFill="1" applyBorder="1" applyAlignment="1">
      <alignment wrapText="1"/>
    </xf>
    <xf numFmtId="2" fontId="15" fillId="16" borderId="51" xfId="0" applyNumberFormat="1" applyFont="1" applyFill="1" applyBorder="1" applyAlignment="1">
      <alignment wrapText="1"/>
    </xf>
    <xf numFmtId="2" fontId="15" fillId="16" borderId="43" xfId="0" applyNumberFormat="1" applyFont="1" applyFill="1" applyBorder="1" applyAlignment="1">
      <alignment shrinkToFit="1"/>
    </xf>
    <xf numFmtId="2" fontId="15" fillId="16" borderId="36" xfId="0" applyNumberFormat="1" applyFont="1" applyFill="1" applyBorder="1" applyAlignment="1">
      <alignment wrapText="1"/>
    </xf>
    <xf numFmtId="2" fontId="15" fillId="16" borderId="43" xfId="0" applyNumberFormat="1" applyFont="1" applyFill="1" applyBorder="1" applyAlignment="1">
      <alignment/>
    </xf>
    <xf numFmtId="2" fontId="15" fillId="16" borderId="37" xfId="0" applyNumberFormat="1" applyFont="1" applyFill="1" applyBorder="1" applyAlignment="1">
      <alignment wrapText="1"/>
    </xf>
    <xf numFmtId="2" fontId="7" fillId="16" borderId="4" xfId="0" applyNumberFormat="1" applyFont="1" applyFill="1" applyBorder="1" applyAlignment="1">
      <alignment horizontal="center"/>
    </xf>
    <xf numFmtId="2" fontId="19" fillId="16" borderId="43" xfId="0" applyNumberFormat="1" applyFont="1" applyFill="1" applyBorder="1" applyAlignment="1">
      <alignment/>
    </xf>
    <xf numFmtId="0" fontId="15" fillId="16" borderId="55" xfId="0" applyFont="1" applyFill="1" applyBorder="1" applyAlignment="1">
      <alignment wrapText="1"/>
    </xf>
    <xf numFmtId="2" fontId="15" fillId="16" borderId="52" xfId="0" applyNumberFormat="1" applyFont="1" applyFill="1" applyBorder="1" applyAlignment="1">
      <alignment shrinkToFit="1"/>
    </xf>
    <xf numFmtId="0" fontId="15" fillId="16" borderId="52" xfId="0" applyFont="1" applyFill="1" applyBorder="1" applyAlignment="1">
      <alignment wrapText="1"/>
    </xf>
    <xf numFmtId="2" fontId="15" fillId="16" borderId="5" xfId="0" applyNumberFormat="1" applyFont="1" applyFill="1" applyBorder="1" applyAlignment="1">
      <alignment horizontal="center"/>
    </xf>
    <xf numFmtId="0" fontId="15" fillId="16" borderId="56" xfId="0" applyFont="1" applyFill="1" applyBorder="1" applyAlignment="1">
      <alignment wrapText="1"/>
    </xf>
    <xf numFmtId="0" fontId="7" fillId="16" borderId="15" xfId="0" applyFont="1" applyFill="1" applyBorder="1" applyAlignment="1">
      <alignment horizontal="center"/>
    </xf>
    <xf numFmtId="0" fontId="15" fillId="16" borderId="0" xfId="0" applyFont="1" applyFill="1" applyAlignment="1">
      <alignment/>
    </xf>
    <xf numFmtId="0" fontId="18" fillId="16" borderId="9" xfId="0" applyFont="1" applyFill="1" applyBorder="1" applyAlignment="1">
      <alignment/>
    </xf>
    <xf numFmtId="0" fontId="18" fillId="16" borderId="13" xfId="0" applyFont="1" applyFill="1" applyBorder="1" applyAlignment="1">
      <alignment horizontal="center"/>
    </xf>
    <xf numFmtId="2" fontId="7" fillId="16" borderId="4" xfId="0" applyNumberFormat="1" applyFont="1" applyFill="1" applyBorder="1" applyAlignment="1">
      <alignment horizontal="center"/>
    </xf>
    <xf numFmtId="0" fontId="75" fillId="16" borderId="0" xfId="0" applyFont="1" applyFill="1" applyAlignment="1">
      <alignment/>
    </xf>
    <xf numFmtId="0" fontId="15" fillId="0" borderId="5" xfId="0" applyFont="1" applyFill="1" applyBorder="1" applyAlignment="1">
      <alignment/>
    </xf>
    <xf numFmtId="0" fontId="54" fillId="0" borderId="5" xfId="0" applyFont="1" applyFill="1" applyBorder="1" applyAlignment="1">
      <alignment/>
    </xf>
    <xf numFmtId="0" fontId="15" fillId="0" borderId="6" xfId="0" applyFont="1" applyFill="1" applyBorder="1" applyAlignment="1">
      <alignment/>
    </xf>
    <xf numFmtId="0" fontId="0" fillId="0" borderId="6" xfId="0" applyFill="1" applyBorder="1" applyAlignment="1">
      <alignment/>
    </xf>
    <xf numFmtId="0" fontId="15" fillId="0" borderId="0" xfId="0" applyFont="1" applyFill="1" applyBorder="1" applyAlignment="1">
      <alignment/>
    </xf>
    <xf numFmtId="0" fontId="15" fillId="0" borderId="0" xfId="0" applyFont="1" applyFill="1" applyAlignment="1">
      <alignment/>
    </xf>
    <xf numFmtId="0" fontId="15" fillId="0" borderId="0" xfId="0" applyFont="1" applyFill="1" applyBorder="1" applyAlignment="1">
      <alignment horizontal="center"/>
    </xf>
    <xf numFmtId="0" fontId="28" fillId="0" borderId="0" xfId="0" applyFont="1" applyFill="1" applyBorder="1" applyAlignment="1">
      <alignment/>
    </xf>
    <xf numFmtId="0" fontId="15" fillId="0" borderId="5" xfId="0" applyFont="1" applyFill="1" applyBorder="1" applyAlignment="1">
      <alignment horizontal="center"/>
    </xf>
    <xf numFmtId="0" fontId="15" fillId="0" borderId="2" xfId="0" applyFont="1" applyFill="1" applyBorder="1" applyAlignment="1">
      <alignment horizontal="center"/>
    </xf>
    <xf numFmtId="0" fontId="0" fillId="0" borderId="0" xfId="0" applyFill="1" applyBorder="1" applyAlignment="1">
      <alignment horizontal="center" wrapText="1"/>
    </xf>
    <xf numFmtId="2" fontId="4" fillId="0" borderId="0" xfId="0" applyNumberFormat="1" applyFont="1" applyFill="1" applyBorder="1" applyAlignment="1">
      <alignment horizontal="center" wrapText="1"/>
    </xf>
    <xf numFmtId="0" fontId="14" fillId="0" borderId="0" xfId="0" applyFont="1" applyFill="1" applyBorder="1" applyAlignment="1">
      <alignment horizontal="center"/>
    </xf>
    <xf numFmtId="2" fontId="4" fillId="16" borderId="0" xfId="0" applyNumberFormat="1" applyFont="1" applyFill="1" applyBorder="1" applyAlignment="1">
      <alignment/>
    </xf>
    <xf numFmtId="0" fontId="15" fillId="17" borderId="24" xfId="0" applyFont="1" applyFill="1" applyBorder="1" applyAlignment="1">
      <alignment horizontal="center"/>
    </xf>
    <xf numFmtId="0" fontId="15" fillId="17" borderId="8" xfId="0" applyFont="1" applyFill="1" applyBorder="1" applyAlignment="1">
      <alignment horizontal="center"/>
    </xf>
    <xf numFmtId="0" fontId="15" fillId="17" borderId="25" xfId="0" applyFont="1" applyFill="1" applyBorder="1" applyAlignment="1">
      <alignment horizontal="center"/>
    </xf>
    <xf numFmtId="0" fontId="15" fillId="17" borderId="26" xfId="0" applyFont="1" applyFill="1" applyBorder="1" applyAlignment="1">
      <alignment horizontal="center"/>
    </xf>
    <xf numFmtId="0" fontId="15" fillId="17" borderId="30" xfId="0" applyFont="1" applyFill="1" applyBorder="1" applyAlignment="1">
      <alignment horizontal="center"/>
    </xf>
    <xf numFmtId="0" fontId="15" fillId="18" borderId="3" xfId="0" applyFont="1" applyFill="1" applyBorder="1" applyAlignment="1">
      <alignment/>
    </xf>
    <xf numFmtId="0" fontId="7" fillId="18" borderId="9" xfId="0" applyFont="1" applyFill="1" applyBorder="1" applyAlignment="1">
      <alignment/>
    </xf>
    <xf numFmtId="0" fontId="15" fillId="18" borderId="9" xfId="0" applyFont="1" applyFill="1" applyBorder="1" applyAlignment="1">
      <alignment/>
    </xf>
    <xf numFmtId="0" fontId="68" fillId="18" borderId="0" xfId="0" applyFont="1" applyFill="1" applyBorder="1" applyAlignment="1">
      <alignment/>
    </xf>
    <xf numFmtId="0" fontId="15" fillId="18" borderId="0" xfId="0" applyFont="1" applyFill="1" applyBorder="1" applyAlignment="1">
      <alignment/>
    </xf>
    <xf numFmtId="0" fontId="15" fillId="18" borderId="0" xfId="0" applyFont="1" applyFill="1" applyAlignment="1">
      <alignment/>
    </xf>
    <xf numFmtId="0" fontId="67" fillId="18" borderId="0" xfId="0" applyFont="1" applyFill="1" applyBorder="1" applyAlignment="1">
      <alignment/>
    </xf>
    <xf numFmtId="0" fontId="7" fillId="12" borderId="2" xfId="0" applyFont="1" applyFill="1" applyBorder="1" applyAlignment="1">
      <alignment/>
    </xf>
    <xf numFmtId="0" fontId="68" fillId="12" borderId="0" xfId="0" applyFont="1" applyFill="1" applyBorder="1" applyAlignment="1">
      <alignment/>
    </xf>
    <xf numFmtId="0" fontId="15" fillId="12" borderId="0" xfId="0" applyFont="1" applyFill="1" applyBorder="1" applyAlignment="1">
      <alignment/>
    </xf>
    <xf numFmtId="0" fontId="15" fillId="12" borderId="0" xfId="0" applyFont="1" applyFill="1" applyAlignment="1">
      <alignment/>
    </xf>
    <xf numFmtId="0" fontId="15" fillId="19" borderId="5" xfId="0" applyFont="1" applyFill="1" applyBorder="1" applyAlignment="1">
      <alignment/>
    </xf>
    <xf numFmtId="0" fontId="7" fillId="19" borderId="6" xfId="0" applyFont="1" applyFill="1" applyBorder="1" applyAlignment="1">
      <alignment/>
    </xf>
    <xf numFmtId="0" fontId="15" fillId="19" borderId="6" xfId="0" applyFont="1" applyFill="1" applyBorder="1" applyAlignment="1">
      <alignment/>
    </xf>
    <xf numFmtId="0" fontId="15" fillId="18" borderId="2" xfId="0" applyFont="1" applyFill="1" applyBorder="1" applyAlignment="1">
      <alignment horizontal="center"/>
    </xf>
    <xf numFmtId="0" fontId="7" fillId="18" borderId="0" xfId="0" applyFont="1" applyFill="1" applyBorder="1" applyAlignment="1">
      <alignment/>
    </xf>
    <xf numFmtId="0" fontId="15" fillId="18" borderId="0" xfId="0" applyFont="1" applyFill="1" applyBorder="1" applyAlignment="1">
      <alignment horizontal="center"/>
    </xf>
    <xf numFmtId="0" fontId="15" fillId="18" borderId="0" xfId="0" applyFont="1" applyFill="1" applyBorder="1" applyAlignment="1">
      <alignment/>
    </xf>
    <xf numFmtId="0" fontId="15" fillId="12" borderId="0" xfId="0" applyFont="1" applyFill="1" applyBorder="1" applyAlignment="1">
      <alignment/>
    </xf>
    <xf numFmtId="0" fontId="63" fillId="12" borderId="2" xfId="0" applyFont="1" applyFill="1" applyBorder="1" applyAlignment="1">
      <alignment/>
    </xf>
    <xf numFmtId="0" fontId="15" fillId="8" borderId="5" xfId="0" applyFont="1" applyFill="1" applyBorder="1" applyAlignment="1">
      <alignment/>
    </xf>
    <xf numFmtId="0" fontId="7" fillId="8" borderId="6" xfId="0" applyFont="1" applyFill="1" applyBorder="1" applyAlignment="1">
      <alignment/>
    </xf>
    <xf numFmtId="0" fontId="15" fillId="8" borderId="6" xfId="0" applyFont="1" applyFill="1" applyBorder="1" applyAlignment="1">
      <alignment/>
    </xf>
    <xf numFmtId="0" fontId="15" fillId="20" borderId="5" xfId="0" applyFont="1" applyFill="1" applyBorder="1" applyAlignment="1">
      <alignment/>
    </xf>
    <xf numFmtId="0" fontId="7" fillId="20" borderId="6" xfId="0" applyFont="1" applyFill="1" applyBorder="1" applyAlignment="1">
      <alignment/>
    </xf>
    <xf numFmtId="0" fontId="15" fillId="20" borderId="6" xfId="0" applyFont="1" applyFill="1" applyBorder="1" applyAlignment="1">
      <alignment/>
    </xf>
    <xf numFmtId="0" fontId="15" fillId="2" borderId="5" xfId="0" applyFont="1" applyFill="1" applyBorder="1" applyAlignment="1">
      <alignment/>
    </xf>
    <xf numFmtId="0" fontId="7" fillId="2" borderId="6" xfId="0" applyFont="1" applyFill="1" applyBorder="1" applyAlignment="1">
      <alignment/>
    </xf>
    <xf numFmtId="0" fontId="15" fillId="2" borderId="6" xfId="0" applyFont="1" applyFill="1" applyBorder="1" applyAlignment="1">
      <alignment/>
    </xf>
    <xf numFmtId="0" fontId="15" fillId="18" borderId="5" xfId="0" applyFont="1" applyFill="1" applyBorder="1" applyAlignment="1">
      <alignment/>
    </xf>
    <xf numFmtId="0" fontId="54" fillId="18" borderId="5" xfId="0" applyFont="1" applyFill="1" applyBorder="1" applyAlignment="1">
      <alignment/>
    </xf>
    <xf numFmtId="0" fontId="15" fillId="18" borderId="6" xfId="0" applyFont="1" applyFill="1" applyBorder="1" applyAlignment="1">
      <alignment/>
    </xf>
    <xf numFmtId="0" fontId="0" fillId="18" borderId="6" xfId="0" applyFill="1" applyBorder="1" applyAlignment="1">
      <alignment/>
    </xf>
    <xf numFmtId="0" fontId="0" fillId="18" borderId="1" xfId="0" applyFill="1" applyBorder="1" applyAlignment="1">
      <alignment/>
    </xf>
    <xf numFmtId="0" fontId="0" fillId="18" borderId="0" xfId="0" applyFill="1" applyBorder="1" applyAlignment="1">
      <alignment/>
    </xf>
    <xf numFmtId="0" fontId="7" fillId="18" borderId="0" xfId="0" applyFont="1" applyFill="1" applyBorder="1" applyAlignment="1">
      <alignment horizontal="center"/>
    </xf>
    <xf numFmtId="0" fontId="28" fillId="18" borderId="0" xfId="0" applyFont="1" applyFill="1" applyBorder="1" applyAlignment="1">
      <alignment/>
    </xf>
    <xf numFmtId="0" fontId="15" fillId="18" borderId="5" xfId="0" applyFont="1" applyFill="1" applyBorder="1" applyAlignment="1">
      <alignment horizontal="center"/>
    </xf>
    <xf numFmtId="0" fontId="4" fillId="18" borderId="0" xfId="0" applyFont="1" applyFill="1" applyBorder="1" applyAlignment="1">
      <alignment horizontal="center"/>
    </xf>
    <xf numFmtId="0" fontId="0" fillId="18" borderId="0" xfId="0" applyFill="1" applyBorder="1" applyAlignment="1">
      <alignment wrapText="1"/>
    </xf>
    <xf numFmtId="2" fontId="0" fillId="18" borderId="0" xfId="0" applyNumberFormat="1" applyFill="1" applyBorder="1" applyAlignment="1">
      <alignment shrinkToFit="1"/>
    </xf>
    <xf numFmtId="0" fontId="14" fillId="18" borderId="0" xfId="0" applyFont="1" applyFill="1" applyBorder="1" applyAlignment="1">
      <alignment horizontal="center"/>
    </xf>
    <xf numFmtId="0" fontId="7" fillId="16" borderId="5" xfId="0" applyFont="1" applyFill="1" applyBorder="1" applyAlignment="1">
      <alignment horizontal="center"/>
    </xf>
    <xf numFmtId="0" fontId="7" fillId="16" borderId="2" xfId="0" applyFont="1" applyFill="1" applyBorder="1" applyAlignment="1">
      <alignment horizontal="center"/>
    </xf>
    <xf numFmtId="0" fontId="7" fillId="16" borderId="3" xfId="0" applyFont="1" applyFill="1" applyBorder="1" applyAlignment="1">
      <alignment horizontal="center"/>
    </xf>
    <xf numFmtId="0" fontId="15" fillId="16" borderId="3" xfId="0" applyFont="1" applyFill="1" applyBorder="1" applyAlignment="1">
      <alignment/>
    </xf>
    <xf numFmtId="0" fontId="15" fillId="16" borderId="9" xfId="0" applyFont="1" applyFill="1" applyBorder="1" applyAlignment="1">
      <alignment/>
    </xf>
    <xf numFmtId="0" fontId="15" fillId="16" borderId="11" xfId="0" applyFont="1" applyFill="1" applyBorder="1" applyAlignment="1">
      <alignment/>
    </xf>
    <xf numFmtId="2" fontId="54" fillId="16" borderId="4" xfId="0" applyNumberFormat="1" applyFont="1" applyFill="1" applyBorder="1" applyAlignment="1">
      <alignment horizontal="center" vertical="center"/>
    </xf>
    <xf numFmtId="0" fontId="7" fillId="16" borderId="10" xfId="0" applyFont="1" applyFill="1" applyBorder="1" applyAlignment="1">
      <alignment horizontal="center"/>
    </xf>
    <xf numFmtId="0" fontId="7" fillId="16" borderId="6" xfId="0" applyFont="1" applyFill="1" applyBorder="1" applyAlignment="1">
      <alignment horizontal="center"/>
    </xf>
    <xf numFmtId="0" fontId="7" fillId="16" borderId="0" xfId="0" applyFont="1" applyFill="1" applyAlignment="1">
      <alignment/>
    </xf>
    <xf numFmtId="0" fontId="18" fillId="16" borderId="3" xfId="0" applyFont="1" applyFill="1" applyBorder="1" applyAlignment="1">
      <alignment horizontal="center"/>
    </xf>
    <xf numFmtId="0" fontId="19" fillId="16" borderId="9" xfId="0" applyFont="1" applyFill="1" applyBorder="1" applyAlignment="1">
      <alignment horizontal="center"/>
    </xf>
    <xf numFmtId="0" fontId="4" fillId="0" borderId="12" xfId="0" applyFont="1" applyBorder="1" applyAlignment="1">
      <alignment horizontal="center"/>
    </xf>
    <xf numFmtId="0" fontId="4" fillId="0" borderId="38" xfId="0" applyFont="1" applyBorder="1" applyAlignment="1">
      <alignment horizontal="center"/>
    </xf>
    <xf numFmtId="0" fontId="4" fillId="0" borderId="53" xfId="0" applyFont="1" applyBorder="1" applyAlignment="1">
      <alignment horizontal="center"/>
    </xf>
    <xf numFmtId="0" fontId="7" fillId="16" borderId="12" xfId="0" applyFont="1" applyFill="1" applyBorder="1" applyAlignment="1">
      <alignment horizontal="center"/>
    </xf>
    <xf numFmtId="0" fontId="7" fillId="16" borderId="38" xfId="0" applyFont="1" applyFill="1" applyBorder="1" applyAlignment="1">
      <alignment horizontal="center"/>
    </xf>
    <xf numFmtId="0" fontId="7" fillId="16" borderId="53" xfId="0" applyFont="1" applyFill="1" applyBorder="1" applyAlignment="1">
      <alignment horizontal="center"/>
    </xf>
    <xf numFmtId="0" fontId="7" fillId="16" borderId="4" xfId="0" applyFont="1" applyFill="1" applyBorder="1" applyAlignment="1">
      <alignment horizontal="center"/>
    </xf>
    <xf numFmtId="0" fontId="15" fillId="16" borderId="7" xfId="0" applyFont="1" applyFill="1" applyBorder="1" applyAlignment="1">
      <alignment horizontal="center"/>
    </xf>
    <xf numFmtId="0" fontId="4" fillId="16" borderId="0" xfId="0" applyFont="1" applyFill="1" applyBorder="1" applyAlignment="1">
      <alignment horizontal="center"/>
    </xf>
    <xf numFmtId="0" fontId="11" fillId="4" borderId="0" xfId="0" applyFont="1" applyFill="1" applyAlignment="1">
      <alignment horizontal="left" vertical="center" wrapText="1"/>
    </xf>
    <xf numFmtId="0" fontId="0" fillId="4" borderId="0" xfId="0" applyFill="1" applyAlignment="1">
      <alignment vertical="center" wrapText="1"/>
    </xf>
    <xf numFmtId="0" fontId="4" fillId="4" borderId="0" xfId="0" applyFont="1" applyFill="1" applyAlignment="1">
      <alignment/>
    </xf>
    <xf numFmtId="0" fontId="54" fillId="16" borderId="4" xfId="0" applyFont="1" applyFill="1" applyBorder="1" applyAlignment="1">
      <alignment horizontal="center" vertical="center"/>
    </xf>
    <xf numFmtId="0" fontId="15" fillId="16" borderId="1" xfId="0" applyFont="1" applyFill="1" applyBorder="1" applyAlignment="1">
      <alignment/>
    </xf>
    <xf numFmtId="0" fontId="15" fillId="16" borderId="7" xfId="0" applyFont="1" applyFill="1" applyBorder="1" applyAlignment="1">
      <alignment/>
    </xf>
    <xf numFmtId="0" fontId="4" fillId="16" borderId="53" xfId="0" applyFont="1" applyFill="1" applyBorder="1" applyAlignment="1">
      <alignment horizontal="center"/>
    </xf>
    <xf numFmtId="0" fontId="7" fillId="16" borderId="13" xfId="0" applyFont="1" applyFill="1" applyBorder="1" applyAlignment="1">
      <alignment horizontal="center"/>
    </xf>
    <xf numFmtId="0" fontId="7" fillId="16" borderId="41" xfId="0" applyFont="1" applyFill="1" applyBorder="1" applyAlignment="1">
      <alignment horizontal="center"/>
    </xf>
    <xf numFmtId="0" fontId="7" fillId="16" borderId="16" xfId="0" applyFont="1" applyFill="1" applyBorder="1" applyAlignment="1">
      <alignment horizontal="center"/>
    </xf>
    <xf numFmtId="0" fontId="18" fillId="16" borderId="4" xfId="0" applyFont="1" applyFill="1" applyBorder="1" applyAlignment="1">
      <alignment horizontal="center"/>
    </xf>
    <xf numFmtId="0" fontId="19" fillId="16" borderId="7" xfId="0" applyFont="1" applyFill="1" applyBorder="1" applyAlignment="1">
      <alignment horizontal="center"/>
    </xf>
    <xf numFmtId="0" fontId="7" fillId="16" borderId="5" xfId="0" applyFont="1" applyFill="1" applyBorder="1" applyAlignment="1">
      <alignment horizontal="center"/>
    </xf>
    <xf numFmtId="0" fontId="15" fillId="16" borderId="6" xfId="0" applyFont="1" applyFill="1" applyBorder="1" applyAlignment="1">
      <alignment/>
    </xf>
    <xf numFmtId="0" fontId="15" fillId="16" borderId="10" xfId="0" applyFont="1" applyFill="1" applyBorder="1" applyAlignment="1">
      <alignment/>
    </xf>
    <xf numFmtId="0" fontId="7" fillId="16" borderId="13" xfId="0" applyFont="1" applyFill="1" applyBorder="1" applyAlignment="1">
      <alignment horizontal="center"/>
    </xf>
    <xf numFmtId="0" fontId="7" fillId="16" borderId="41" xfId="0" applyFont="1" applyFill="1" applyBorder="1" applyAlignment="1">
      <alignment horizontal="center"/>
    </xf>
    <xf numFmtId="0" fontId="7" fillId="16" borderId="16" xfId="0" applyFont="1" applyFill="1" applyBorder="1" applyAlignment="1">
      <alignment horizontal="center"/>
    </xf>
    <xf numFmtId="0" fontId="7" fillId="16" borderId="15" xfId="0" applyFont="1" applyFill="1" applyBorder="1" applyAlignment="1">
      <alignment horizontal="center"/>
    </xf>
    <xf numFmtId="0" fontId="4" fillId="16" borderId="12" xfId="0" applyFont="1" applyFill="1" applyBorder="1" applyAlignment="1">
      <alignment horizontal="center"/>
    </xf>
    <xf numFmtId="0" fontId="4" fillId="16" borderId="38" xfId="0" applyFont="1" applyFill="1" applyBorder="1" applyAlignment="1">
      <alignment horizontal="center"/>
    </xf>
    <xf numFmtId="0" fontId="18" fillId="16" borderId="9" xfId="0" applyFont="1" applyFill="1" applyBorder="1" applyAlignment="1">
      <alignment horizontal="center"/>
    </xf>
    <xf numFmtId="0" fontId="15" fillId="16" borderId="9" xfId="0" applyFont="1" applyFill="1" applyBorder="1" applyAlignment="1">
      <alignment horizontal="center"/>
    </xf>
    <xf numFmtId="0" fontId="18" fillId="16" borderId="5" xfId="0" applyFont="1" applyFill="1" applyBorder="1" applyAlignment="1">
      <alignment horizontal="center"/>
    </xf>
    <xf numFmtId="0" fontId="15" fillId="16" borderId="10" xfId="0" applyFont="1" applyFill="1" applyBorder="1" applyAlignment="1">
      <alignment horizontal="center"/>
    </xf>
    <xf numFmtId="0" fontId="7" fillId="16" borderId="3" xfId="0" applyFont="1" applyFill="1" applyBorder="1" applyAlignment="1">
      <alignment horizontal="center"/>
    </xf>
    <xf numFmtId="0" fontId="15" fillId="16" borderId="11" xfId="0" applyFont="1" applyFill="1" applyBorder="1" applyAlignment="1">
      <alignment horizontal="center"/>
    </xf>
    <xf numFmtId="0" fontId="7" fillId="16" borderId="12" xfId="0" applyFont="1" applyFill="1" applyBorder="1" applyAlignment="1">
      <alignment horizontal="center"/>
    </xf>
    <xf numFmtId="0" fontId="7" fillId="16" borderId="38" xfId="0" applyFont="1" applyFill="1" applyBorder="1" applyAlignment="1">
      <alignment horizontal="center"/>
    </xf>
    <xf numFmtId="0" fontId="7" fillId="16" borderId="53" xfId="0" applyFont="1" applyFill="1" applyBorder="1" applyAlignment="1">
      <alignment horizontal="center"/>
    </xf>
    <xf numFmtId="0" fontId="15" fillId="16" borderId="5" xfId="0" applyFont="1" applyFill="1" applyBorder="1" applyAlignment="1">
      <alignment horizontal="center"/>
    </xf>
    <xf numFmtId="0" fontId="18" fillId="16" borderId="5" xfId="0" applyFont="1" applyFill="1" applyBorder="1" applyAlignment="1">
      <alignment horizontal="center"/>
    </xf>
    <xf numFmtId="0" fontId="4" fillId="16" borderId="3" xfId="0" applyFont="1" applyFill="1" applyBorder="1" applyAlignment="1">
      <alignment horizontal="center"/>
    </xf>
    <xf numFmtId="0" fontId="0" fillId="16" borderId="11" xfId="0" applyFill="1" applyBorder="1" applyAlignment="1">
      <alignment horizontal="center"/>
    </xf>
    <xf numFmtId="0" fontId="7" fillId="16" borderId="2" xfId="0" applyFont="1" applyFill="1" applyBorder="1" applyAlignment="1">
      <alignment horizontal="center"/>
    </xf>
    <xf numFmtId="0" fontId="15" fillId="16" borderId="18" xfId="0" applyFont="1" applyFill="1" applyBorder="1" applyAlignment="1">
      <alignment horizontal="center"/>
    </xf>
    <xf numFmtId="0" fontId="73" fillId="16" borderId="0" xfId="0" applyFont="1" applyFill="1" applyAlignment="1">
      <alignment horizontal="left" vertical="center" wrapText="1"/>
    </xf>
    <xf numFmtId="0" fontId="15" fillId="16" borderId="0" xfId="0" applyFont="1" applyFill="1" applyAlignment="1">
      <alignment vertical="center" wrapText="1"/>
    </xf>
    <xf numFmtId="0" fontId="73" fillId="16" borderId="0" xfId="0" applyFont="1" applyFill="1" applyAlignment="1">
      <alignment horizontal="left"/>
    </xf>
    <xf numFmtId="0" fontId="15" fillId="16" borderId="0" xfId="0" applyFont="1" applyFill="1" applyAlignment="1">
      <alignment/>
    </xf>
    <xf numFmtId="0" fontId="19" fillId="16" borderId="6" xfId="0" applyFont="1" applyFill="1" applyBorder="1" applyAlignment="1">
      <alignment horizontal="center"/>
    </xf>
    <xf numFmtId="2" fontId="3" fillId="16" borderId="4" xfId="0" applyNumberFormat="1" applyFont="1" applyFill="1" applyBorder="1" applyAlignment="1">
      <alignment horizontal="center" vertical="center"/>
    </xf>
    <xf numFmtId="2" fontId="0" fillId="16" borderId="1" xfId="0" applyNumberFormat="1" applyFill="1" applyBorder="1" applyAlignment="1">
      <alignment/>
    </xf>
    <xf numFmtId="2" fontId="0" fillId="16" borderId="7" xfId="0" applyNumberFormat="1" applyFill="1" applyBorder="1" applyAlignment="1">
      <alignment/>
    </xf>
    <xf numFmtId="2" fontId="0" fillId="16" borderId="3" xfId="0" applyNumberFormat="1" applyFill="1" applyBorder="1" applyAlignment="1">
      <alignment/>
    </xf>
    <xf numFmtId="2" fontId="0" fillId="16" borderId="9" xfId="0" applyNumberFormat="1" applyFill="1" applyBorder="1" applyAlignment="1">
      <alignment/>
    </xf>
    <xf numFmtId="2" fontId="0" fillId="16" borderId="11" xfId="0" applyNumberFormat="1" applyFill="1" applyBorder="1" applyAlignment="1">
      <alignment/>
    </xf>
    <xf numFmtId="0" fontId="4" fillId="16" borderId="5" xfId="0" applyFont="1" applyFill="1" applyBorder="1" applyAlignment="1">
      <alignment horizontal="center"/>
    </xf>
    <xf numFmtId="0" fontId="4" fillId="16" borderId="6" xfId="0" applyFont="1" applyFill="1" applyBorder="1" applyAlignment="1">
      <alignment horizontal="center"/>
    </xf>
    <xf numFmtId="0" fontId="4" fillId="16" borderId="10" xfId="0" applyFont="1" applyFill="1" applyBorder="1" applyAlignment="1">
      <alignment horizontal="center"/>
    </xf>
    <xf numFmtId="0" fontId="12" fillId="16" borderId="5" xfId="0" applyFont="1" applyFill="1" applyBorder="1" applyAlignment="1">
      <alignment horizontal="center"/>
    </xf>
    <xf numFmtId="0" fontId="29" fillId="16" borderId="6" xfId="0" applyFont="1" applyFill="1" applyBorder="1" applyAlignment="1">
      <alignment horizontal="center"/>
    </xf>
    <xf numFmtId="0" fontId="29" fillId="16" borderId="10" xfId="0" applyFont="1" applyFill="1" applyBorder="1" applyAlignment="1">
      <alignment horizontal="center"/>
    </xf>
    <xf numFmtId="0" fontId="15" fillId="16" borderId="6" xfId="0" applyFont="1" applyFill="1" applyBorder="1" applyAlignment="1">
      <alignment horizontal="center"/>
    </xf>
    <xf numFmtId="0" fontId="15" fillId="16" borderId="10" xfId="0" applyFont="1" applyFill="1" applyBorder="1" applyAlignment="1">
      <alignment/>
    </xf>
    <xf numFmtId="2" fontId="15" fillId="16" borderId="1" xfId="0" applyNumberFormat="1" applyFont="1" applyFill="1" applyBorder="1" applyAlignment="1">
      <alignment/>
    </xf>
    <xf numFmtId="2" fontId="15" fillId="16" borderId="7" xfId="0" applyNumberFormat="1" applyFont="1" applyFill="1" applyBorder="1" applyAlignment="1">
      <alignment/>
    </xf>
    <xf numFmtId="2" fontId="15" fillId="16" borderId="3" xfId="0" applyNumberFormat="1" applyFont="1" applyFill="1" applyBorder="1" applyAlignment="1">
      <alignment/>
    </xf>
    <xf numFmtId="2" fontId="15" fillId="16" borderId="9" xfId="0" applyNumberFormat="1" applyFont="1" applyFill="1" applyBorder="1" applyAlignment="1">
      <alignment/>
    </xf>
    <xf numFmtId="2" fontId="15" fillId="16" borderId="11" xfId="0" applyNumberFormat="1" applyFont="1" applyFill="1" applyBorder="1" applyAlignment="1">
      <alignment/>
    </xf>
    <xf numFmtId="0" fontId="64" fillId="16" borderId="5" xfId="0" applyFont="1" applyFill="1" applyBorder="1" applyAlignment="1">
      <alignment horizontal="center"/>
    </xf>
    <xf numFmtId="0" fontId="71" fillId="16" borderId="6" xfId="0" applyFont="1" applyFill="1" applyBorder="1" applyAlignment="1">
      <alignment horizontal="center"/>
    </xf>
    <xf numFmtId="0" fontId="71" fillId="16" borderId="10" xfId="0" applyFont="1" applyFill="1" applyBorder="1" applyAlignment="1">
      <alignment horizontal="center"/>
    </xf>
    <xf numFmtId="0" fontId="5" fillId="16" borderId="4" xfId="0" applyFont="1" applyFill="1" applyBorder="1" applyAlignment="1">
      <alignment horizontal="center" vertical="top" wrapText="1"/>
    </xf>
    <xf numFmtId="0" fontId="0" fillId="16" borderId="1" xfId="0" applyFill="1" applyBorder="1" applyAlignment="1">
      <alignment/>
    </xf>
    <xf numFmtId="0" fontId="0" fillId="16" borderId="7" xfId="0" applyFill="1" applyBorder="1" applyAlignment="1">
      <alignment/>
    </xf>
    <xf numFmtId="0" fontId="8" fillId="16" borderId="5" xfId="0" applyFont="1" applyFill="1" applyBorder="1" applyAlignment="1">
      <alignment horizontal="left" shrinkToFit="1"/>
    </xf>
    <xf numFmtId="0" fontId="4" fillId="16" borderId="6" xfId="0" applyFont="1" applyFill="1" applyBorder="1" applyAlignment="1">
      <alignment horizontal="left" shrinkToFit="1"/>
    </xf>
    <xf numFmtId="0" fontId="4" fillId="16" borderId="10" xfId="0" applyFont="1" applyFill="1" applyBorder="1" applyAlignment="1">
      <alignment/>
    </xf>
    <xf numFmtId="0" fontId="8" fillId="16" borderId="2" xfId="0" applyFont="1" applyFill="1" applyBorder="1" applyAlignment="1">
      <alignment horizontal="left" shrinkToFit="1"/>
    </xf>
    <xf numFmtId="0" fontId="4" fillId="16" borderId="0" xfId="0" applyFont="1" applyFill="1" applyBorder="1" applyAlignment="1">
      <alignment horizontal="left" shrinkToFit="1"/>
    </xf>
    <xf numFmtId="0" fontId="4" fillId="16" borderId="18" xfId="0" applyFont="1" applyFill="1" applyBorder="1" applyAlignment="1">
      <alignment/>
    </xf>
    <xf numFmtId="0" fontId="54" fillId="16" borderId="1" xfId="0" applyFont="1" applyFill="1" applyBorder="1" applyAlignment="1">
      <alignment horizontal="center" vertical="center"/>
    </xf>
    <xf numFmtId="0" fontId="54" fillId="16" borderId="7" xfId="0" applyFont="1" applyFill="1" applyBorder="1" applyAlignment="1">
      <alignment horizontal="center" vertical="center"/>
    </xf>
    <xf numFmtId="0" fontId="54" fillId="16" borderId="9" xfId="0" applyFont="1" applyFill="1" applyBorder="1" applyAlignment="1">
      <alignment horizontal="center" vertical="center"/>
    </xf>
    <xf numFmtId="0" fontId="54" fillId="16" borderId="11" xfId="0" applyFont="1" applyFill="1" applyBorder="1" applyAlignment="1">
      <alignment horizontal="center" vertical="center"/>
    </xf>
    <xf numFmtId="0" fontId="54" fillId="16" borderId="3" xfId="0" applyFont="1" applyFill="1" applyBorder="1" applyAlignment="1">
      <alignment horizontal="center" vertical="center"/>
    </xf>
    <xf numFmtId="0" fontId="8" fillId="16" borderId="5" xfId="0" applyFont="1" applyFill="1" applyBorder="1" applyAlignment="1">
      <alignment horizontal="left"/>
    </xf>
    <xf numFmtId="0" fontId="4" fillId="16" borderId="6" xfId="0" applyFont="1" applyFill="1" applyBorder="1" applyAlignment="1">
      <alignment horizontal="left"/>
    </xf>
    <xf numFmtId="0" fontId="15" fillId="16" borderId="18" xfId="0" applyFont="1" applyFill="1" applyBorder="1" applyAlignment="1">
      <alignment/>
    </xf>
    <xf numFmtId="0" fontId="14" fillId="16" borderId="0" xfId="0" applyFont="1" applyFill="1" applyBorder="1" applyAlignment="1">
      <alignment horizontal="center"/>
    </xf>
    <xf numFmtId="0" fontId="0" fillId="16" borderId="0" xfId="0" applyFill="1" applyBorder="1" applyAlignment="1">
      <alignment horizontal="center"/>
    </xf>
    <xf numFmtId="0" fontId="18" fillId="16" borderId="0" xfId="0" applyFont="1" applyFill="1" applyBorder="1" applyAlignment="1">
      <alignment horizontal="left"/>
    </xf>
    <xf numFmtId="0" fontId="19" fillId="16" borderId="0" xfId="0" applyFont="1" applyFill="1" applyBorder="1" applyAlignment="1">
      <alignment horizontal="left"/>
    </xf>
    <xf numFmtId="0" fontId="18" fillId="16" borderId="4" xfId="0" applyFont="1" applyFill="1" applyBorder="1" applyAlignment="1">
      <alignment horizontal="right"/>
    </xf>
    <xf numFmtId="0" fontId="0" fillId="16" borderId="4" xfId="0" applyFont="1" applyFill="1" applyBorder="1" applyAlignment="1">
      <alignment horizontal="center"/>
    </xf>
    <xf numFmtId="0" fontId="0" fillId="16" borderId="7" xfId="0" applyFont="1" applyFill="1" applyBorder="1" applyAlignment="1">
      <alignment/>
    </xf>
    <xf numFmtId="0" fontId="32" fillId="0" borderId="2" xfId="0" applyFont="1" applyBorder="1" applyAlignment="1">
      <alignment horizontal="center"/>
    </xf>
    <xf numFmtId="0" fontId="0" fillId="0" borderId="18" xfId="0" applyBorder="1" applyAlignment="1">
      <alignment/>
    </xf>
    <xf numFmtId="0" fontId="32" fillId="0" borderId="4" xfId="0" applyFont="1" applyBorder="1" applyAlignment="1">
      <alignment horizontal="center"/>
    </xf>
    <xf numFmtId="0" fontId="0" fillId="0" borderId="7" xfId="0" applyBorder="1" applyAlignment="1">
      <alignment/>
    </xf>
    <xf numFmtId="0" fontId="32" fillId="0" borderId="3" xfId="0" applyFont="1" applyBorder="1" applyAlignment="1">
      <alignment horizontal="center"/>
    </xf>
    <xf numFmtId="0" fontId="0" fillId="0" borderId="11" xfId="0" applyBorder="1" applyAlignment="1">
      <alignment/>
    </xf>
    <xf numFmtId="0" fontId="32" fillId="0" borderId="6" xfId="0" applyFont="1" applyBorder="1" applyAlignment="1">
      <alignment horizontal="center"/>
    </xf>
    <xf numFmtId="0" fontId="0" fillId="0" borderId="10" xfId="0" applyBorder="1" applyAlignment="1">
      <alignment/>
    </xf>
    <xf numFmtId="0" fontId="0" fillId="16" borderId="2" xfId="0" applyFont="1" applyFill="1" applyBorder="1" applyAlignment="1">
      <alignment/>
    </xf>
    <xf numFmtId="0" fontId="0" fillId="16" borderId="18" xfId="0" applyFont="1" applyFill="1" applyBorder="1" applyAlignment="1">
      <alignment/>
    </xf>
    <xf numFmtId="0" fontId="0" fillId="16" borderId="2" xfId="0" applyFont="1" applyFill="1" applyBorder="1" applyAlignment="1">
      <alignment/>
    </xf>
    <xf numFmtId="0" fontId="0" fillId="16" borderId="18" xfId="0" applyFont="1" applyFill="1" applyBorder="1" applyAlignment="1">
      <alignment/>
    </xf>
    <xf numFmtId="0" fontId="9" fillId="0" borderId="3" xfId="0" applyFont="1" applyFill="1" applyBorder="1" applyAlignment="1">
      <alignment horizontal="center"/>
    </xf>
    <xf numFmtId="0" fontId="9" fillId="0" borderId="5" xfId="0" applyFont="1" applyFill="1" applyBorder="1" applyAlignment="1">
      <alignment horizontal="center"/>
    </xf>
    <xf numFmtId="0" fontId="0" fillId="0" borderId="10" xfId="0" applyBorder="1" applyAlignment="1">
      <alignment horizontal="center"/>
    </xf>
    <xf numFmtId="0" fontId="9" fillId="0" borderId="9" xfId="0" applyFont="1" applyFill="1" applyBorder="1" applyAlignment="1">
      <alignment horizontal="center"/>
    </xf>
    <xf numFmtId="0" fontId="46" fillId="16" borderId="0" xfId="0" applyFont="1" applyFill="1" applyAlignment="1">
      <alignment horizontal="left" vertical="top" wrapText="1"/>
    </xf>
    <xf numFmtId="0" fontId="0" fillId="16" borderId="0" xfId="0" applyFill="1" applyAlignment="1">
      <alignment vertical="top" wrapText="1"/>
    </xf>
    <xf numFmtId="0" fontId="0" fillId="0" borderId="0" xfId="0" applyAlignment="1">
      <alignment vertical="top" wrapText="1"/>
    </xf>
    <xf numFmtId="0" fontId="52" fillId="16" borderId="0" xfId="0" applyFont="1" applyFill="1" applyAlignment="1">
      <alignment vertical="top" wrapText="1"/>
    </xf>
    <xf numFmtId="0" fontId="0" fillId="0" borderId="0" xfId="0" applyAlignment="1">
      <alignment wrapText="1"/>
    </xf>
    <xf numFmtId="0" fontId="62" fillId="16" borderId="0" xfId="0" applyFont="1" applyFill="1" applyAlignment="1">
      <alignment horizontal="center" vertical="center" wrapText="1"/>
    </xf>
    <xf numFmtId="0" fontId="53" fillId="16" borderId="0" xfId="0" applyFont="1" applyFill="1" applyAlignment="1">
      <alignment vertical="top" wrapText="1"/>
    </xf>
    <xf numFmtId="0" fontId="55" fillId="0" borderId="4" xfId="0" applyFont="1" applyFill="1" applyBorder="1" applyAlignment="1">
      <alignment horizontal="center" vertical="top" wrapText="1"/>
    </xf>
    <xf numFmtId="0" fontId="56" fillId="0" borderId="1" xfId="0" applyFont="1" applyFill="1" applyBorder="1" applyAlignment="1">
      <alignment horizontal="center" vertical="top" wrapText="1"/>
    </xf>
    <xf numFmtId="0" fontId="56" fillId="0" borderId="7" xfId="0" applyFont="1" applyFill="1" applyBorder="1" applyAlignment="1">
      <alignment horizontal="center" vertical="top" wrapText="1"/>
    </xf>
    <xf numFmtId="0" fontId="56" fillId="0" borderId="2" xfId="0" applyFont="1" applyFill="1" applyBorder="1" applyAlignment="1">
      <alignment horizontal="center" vertical="top" wrapText="1"/>
    </xf>
    <xf numFmtId="0" fontId="56" fillId="0" borderId="0"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3" xfId="0" applyFont="1" applyFill="1" applyBorder="1" applyAlignment="1">
      <alignment horizontal="center" vertical="top" wrapText="1"/>
    </xf>
    <xf numFmtId="0" fontId="56" fillId="0" borderId="9"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5" fillId="0" borderId="1" xfId="0" applyFont="1" applyFill="1" applyBorder="1" applyAlignment="1">
      <alignment horizontal="center" vertical="top" wrapText="1"/>
    </xf>
    <xf numFmtId="0" fontId="0" fillId="0" borderId="0" xfId="0"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RESUMEN!$A$6</c:f>
              <c:strCache>
                <c:ptCount val="1"/>
                <c:pt idx="0">
                  <c:v>MOVILIDAD</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540000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RESUMEN!$D$6</c:f>
              <c:numCache>
                <c:ptCount val="1"/>
                <c:pt idx="0">
                  <c:v>0</c:v>
                </c:pt>
              </c:numCache>
            </c:numRef>
          </c:val>
        </c:ser>
        <c:ser>
          <c:idx val="1"/>
          <c:order val="1"/>
          <c:tx>
            <c:strRef>
              <c:f>RESUMEN!$A$8</c:f>
              <c:strCache>
                <c:ptCount val="1"/>
                <c:pt idx="0">
                  <c:v>RESISTENCIA</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1" i="0" u="none" baseline="0">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5400000" anchor="ctr"/>
              <a:lstStyle/>
              <a:p>
                <a:pPr algn="ctr">
                  <a:defRPr lang="en-US" cap="none" sz="1000" b="1"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RESUMEN!$D$8</c:f>
              <c:numCache>
                <c:ptCount val="1"/>
                <c:pt idx="0">
                  <c:v>0</c:v>
                </c:pt>
              </c:numCache>
            </c:numRef>
          </c:val>
        </c:ser>
        <c:ser>
          <c:idx val="2"/>
          <c:order val="2"/>
          <c:tx>
            <c:strRef>
              <c:f>RESUMEN!$A$14</c:f>
              <c:strCache>
                <c:ptCount val="1"/>
                <c:pt idx="0">
                  <c:v>NÚMERO</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5400000" anchor="ctr"/>
              <a:lstStyle/>
              <a:p>
                <a:pPr algn="ctr">
                  <a:defRPr lang="en-US" cap="none" sz="800" b="0"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RESUMEN!$D$14</c:f>
              <c:numCache>
                <c:ptCount val="1"/>
                <c:pt idx="0">
                  <c:v>0</c:v>
                </c:pt>
              </c:numCache>
            </c:numRef>
          </c:val>
        </c:ser>
        <c:ser>
          <c:idx val="3"/>
          <c:order val="3"/>
          <c:tx>
            <c:strRef>
              <c:f>RESUMEN!$A$19</c:f>
              <c:strCache>
                <c:ptCount val="1"/>
                <c:pt idx="0">
                  <c:v>POTENCIA DE FUEGO</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5400000" anchor="ctr"/>
                  <a:lstStyle/>
                  <a:p>
                    <a:pPr algn="ctr">
                      <a:defRPr/>
                    </a:pPr>
                    <a:r>
                      <a:rPr lang="en-US" cap="none" sz="800" b="1" i="0" u="none" baseline="0">
                        <a:latin typeface="Arial"/>
                        <a:ea typeface="Arial"/>
                        <a:cs typeface="Arial"/>
                      </a:rPr>
                      <a:t>POTENCIA 
DE FUEGO</a:t>
                    </a:r>
                  </a:p>
                </c:rich>
              </c:tx>
              <c:numFmt formatCode="General" sourceLinked="1"/>
              <c:spPr/>
              <c:showLegendKey val="0"/>
              <c:showVal val="0"/>
              <c:showBubbleSize val="0"/>
              <c:showCatName val="0"/>
              <c:showSerName val="1"/>
              <c:showPercent val="0"/>
            </c:dLbl>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Ref>
              <c:f>RESUMEN!$B$39:$H$39</c:f>
              <c:numCache>
                <c:ptCount val="1"/>
                <c:pt idx="0">
                  <c:v>0</c:v>
                </c:pt>
              </c:numCache>
            </c:numRef>
          </c:cat>
          <c:val>
            <c:numRef>
              <c:f>RESUMEN!$D$19</c:f>
              <c:numCache>
                <c:ptCount val="1"/>
                <c:pt idx="0">
                  <c:v>0</c:v>
                </c:pt>
              </c:numCache>
            </c:numRef>
          </c:val>
        </c:ser>
        <c:ser>
          <c:idx val="4"/>
          <c:order val="4"/>
          <c:tx>
            <c:strRef>
              <c:f>RESUMEN!$A$25</c:f>
              <c:strCache>
                <c:ptCount val="1"/>
                <c:pt idx="0">
                  <c:v>ASALTO</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0"/>
              <c:showBubbleSize val="0"/>
              <c:showCatName val="0"/>
              <c:showSerName val="1"/>
              <c:showPercent val="0"/>
            </c:dLbl>
            <c:numFmt formatCode="General" sourceLinked="1"/>
            <c:txPr>
              <a:bodyPr vert="horz" rot="-540000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RESUMEN!$D$25</c:f>
              <c:numCache>
                <c:ptCount val="1"/>
                <c:pt idx="0">
                  <c:v>0</c:v>
                </c:pt>
              </c:numCache>
            </c:numRef>
          </c:val>
        </c:ser>
        <c:ser>
          <c:idx val="5"/>
          <c:order val="5"/>
          <c:tx>
            <c:strRef>
              <c:f>RESUMEN!$A$34</c:f>
              <c:strCache>
                <c:ptCount val="1"/>
                <c:pt idx="0">
                  <c:v>MORAL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0"/>
              <c:showBubbleSize val="0"/>
              <c:showCatName val="0"/>
              <c:showSerName val="1"/>
              <c:showPercent val="0"/>
            </c:dLbl>
            <c:numFmt formatCode="General" sourceLinked="1"/>
            <c:txPr>
              <a:bodyPr vert="horz" rot="-540000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RESUMEN!$D$34</c:f>
              <c:numCache>
                <c:ptCount val="1"/>
                <c:pt idx="0">
                  <c:v>0</c:v>
                </c:pt>
              </c:numCache>
            </c:numRef>
          </c:val>
        </c:ser>
        <c:axId val="10742896"/>
        <c:axId val="29577201"/>
      </c:barChart>
      <c:catAx>
        <c:axId val="10742896"/>
        <c:scaling>
          <c:orientation val="minMax"/>
        </c:scaling>
        <c:axPos val="b"/>
        <c:delete val="0"/>
        <c:numFmt formatCode="General" sourceLinked="1"/>
        <c:majorTickMark val="out"/>
        <c:minorTickMark val="none"/>
        <c:tickLblPos val="nextTo"/>
        <c:spPr>
          <a:ln w="38100">
            <a:solidFill/>
          </a:ln>
        </c:spPr>
        <c:txPr>
          <a:bodyPr vert="horz" rot="-5400000"/>
          <a:lstStyle/>
          <a:p>
            <a:pPr>
              <a:defRPr lang="en-US" cap="none" sz="1000" b="0" i="0" u="none" baseline="0">
                <a:latin typeface="Arial"/>
                <a:ea typeface="Arial"/>
                <a:cs typeface="Arial"/>
              </a:defRPr>
            </a:pPr>
          </a:p>
        </c:txPr>
        <c:crossAx val="29577201"/>
        <c:crosses val="autoZero"/>
        <c:auto val="1"/>
        <c:lblOffset val="100"/>
        <c:noMultiLvlLbl val="0"/>
      </c:catAx>
      <c:valAx>
        <c:axId val="29577201"/>
        <c:scaling>
          <c:orientation val="minMax"/>
          <c:max val="5"/>
        </c:scaling>
        <c:axPos val="l"/>
        <c:title>
          <c:tx>
            <c:rich>
              <a:bodyPr vert="horz" rot="-5400000" anchor="ctr"/>
              <a:lstStyle/>
              <a:p>
                <a:pPr algn="ctr">
                  <a:defRPr/>
                </a:pPr>
                <a:r>
                  <a:rPr lang="en-US" cap="none" sz="1000" b="1" i="0" u="none" baseline="0">
                    <a:latin typeface="Arial"/>
                    <a:ea typeface="Arial"/>
                    <a:cs typeface="Arial"/>
                  </a:rPr>
                  <a:t>FACTOR</a:t>
                </a:r>
              </a:p>
            </c:rich>
          </c:tx>
          <c:layout/>
          <c:overlay val="0"/>
          <c:spPr>
            <a:noFill/>
            <a:ln>
              <a:noFill/>
            </a:ln>
          </c:spPr>
        </c:title>
        <c:majorGridlines/>
        <c:delete val="0"/>
        <c:numFmt formatCode="General" sourceLinked="1"/>
        <c:majorTickMark val="out"/>
        <c:minorTickMark val="none"/>
        <c:tickLblPos val="nextTo"/>
        <c:spPr>
          <a:ln w="38100">
            <a:solidFill/>
          </a:ln>
        </c:spPr>
        <c:txPr>
          <a:bodyPr/>
          <a:lstStyle/>
          <a:p>
            <a:pPr>
              <a:defRPr lang="en-US" cap="none" sz="1000" b="1" i="0" u="none" baseline="0">
                <a:latin typeface="Arial"/>
                <a:ea typeface="Arial"/>
                <a:cs typeface="Arial"/>
              </a:defRPr>
            </a:pPr>
          </a:p>
        </c:txPr>
        <c:crossAx val="10742896"/>
        <c:crossesAt val="1"/>
        <c:crossBetween val="between"/>
        <c:dispUnits/>
      </c:valAx>
      <c:spPr>
        <a:noFill/>
        <a:ln>
          <a:noFill/>
        </a:ln>
      </c:spPr>
    </c:plotArea>
    <c:plotVisOnly val="1"/>
    <c:dispBlanksAs val="gap"/>
    <c:showDLblsOverMax val="0"/>
  </c:chart>
  <c:spPr>
    <a:gradFill rotWithShape="1">
      <a:gsLst>
        <a:gs pos="0">
          <a:srgbClr val="993366"/>
        </a:gs>
        <a:gs pos="50000">
          <a:srgbClr val="E1C4D3"/>
        </a:gs>
        <a:gs pos="100000">
          <a:srgbClr val="993366"/>
        </a:gs>
      </a:gsLst>
      <a:lin ang="5400000" scaled="1"/>
    </a:gradFill>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PENETRACIÓN DE LA POTENCIA DE FUEGO CONTRA INFANTERIA LIGERA</a:t>
            </a:r>
          </a:p>
        </c:rich>
      </c:tx>
      <c:layout/>
      <c:spPr>
        <a:noFill/>
        <a:ln>
          <a:noFill/>
        </a:ln>
      </c:spPr>
    </c:title>
    <c:plotArea>
      <c:layout/>
      <c:barChart>
        <c:barDir val="col"/>
        <c:grouping val="clustered"/>
        <c:varyColors val="0"/>
        <c:ser>
          <c:idx val="0"/>
          <c:order val="0"/>
          <c:tx>
            <c:strRef>
              <c:f>RESUMEN!$G$19</c:f>
              <c:strCache>
                <c:ptCount val="1"/>
                <c:pt idx="0">
                  <c:v> %FP1</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5400000" anchor="ctr"/>
                  <a:lstStyle/>
                  <a:p>
                    <a:pPr algn="ctr">
                      <a:defRPr/>
                    </a:pPr>
                    <a:r>
                      <a:rPr lang="en-US" cap="none" sz="800" b="1" i="0" u="none" baseline="0">
                        <a:latin typeface="Arial"/>
                        <a:ea typeface="Arial"/>
                        <a:cs typeface="Arial"/>
                      </a:rPr>
                      <a:t>FP1</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540000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val>
            <c:numRef>
              <c:f>RESUMEN!$G$20</c:f>
              <c:numCache>
                <c:ptCount val="1"/>
                <c:pt idx="0">
                  <c:v>0</c:v>
                </c:pt>
              </c:numCache>
            </c:numRef>
          </c:val>
        </c:ser>
        <c:ser>
          <c:idx val="1"/>
          <c:order val="1"/>
          <c:tx>
            <c:strRef>
              <c:f>RESUMEN!$H$19</c:f>
              <c:strCache>
                <c:ptCount val="1"/>
                <c:pt idx="0">
                  <c:v>%FP2</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1" i="0" u="none" baseline="0">
                        <a:latin typeface="Arial"/>
                        <a:ea typeface="Arial"/>
                        <a:cs typeface="Arial"/>
                      </a:rPr>
                      <a:t>FP2</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1000" b="1" i="0" u="none" baseline="0">
                    <a:latin typeface="Arial"/>
                    <a:ea typeface="Arial"/>
                    <a:cs typeface="Arial"/>
                  </a:defRPr>
                </a:pPr>
              </a:p>
            </c:txPr>
            <c:dLblPos val="outEnd"/>
            <c:showLegendKey val="0"/>
            <c:showVal val="0"/>
            <c:showBubbleSize val="0"/>
            <c:showCatName val="0"/>
            <c:showSerName val="1"/>
            <c:showPercent val="0"/>
          </c:dLbls>
          <c:val>
            <c:numRef>
              <c:f>RESUMEN!$H$20</c:f>
              <c:numCache>
                <c:ptCount val="1"/>
                <c:pt idx="0">
                  <c:v>0</c:v>
                </c:pt>
              </c:numCache>
            </c:numRef>
          </c:val>
        </c:ser>
        <c:ser>
          <c:idx val="2"/>
          <c:order val="2"/>
          <c:tx>
            <c:strRef>
              <c:f>RESUMEN!$I$19</c:f>
              <c:strCache>
                <c:ptCount val="1"/>
                <c:pt idx="0">
                  <c:v>%FP3</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5400000" anchor="ctr"/>
                  <a:lstStyle/>
                  <a:p>
                    <a:pPr algn="ctr">
                      <a:defRPr/>
                    </a:pPr>
                    <a:r>
                      <a:rPr lang="en-US" cap="none" sz="800" b="0" i="0" u="none" baseline="0">
                        <a:latin typeface="Arial"/>
                        <a:ea typeface="Arial"/>
                        <a:cs typeface="Arial"/>
                      </a:rPr>
                      <a:t>FP3</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5400000" anchor="ctr"/>
              <a:lstStyle/>
              <a:p>
                <a:pPr algn="ctr">
                  <a:defRPr lang="en-US" cap="none" sz="800" b="0" i="0" u="none" baseline="0">
                    <a:latin typeface="Arial"/>
                    <a:ea typeface="Arial"/>
                    <a:cs typeface="Arial"/>
                  </a:defRPr>
                </a:pPr>
              </a:p>
            </c:txPr>
            <c:dLblPos val="outEnd"/>
            <c:showLegendKey val="0"/>
            <c:showVal val="0"/>
            <c:showBubbleSize val="0"/>
            <c:showCatName val="0"/>
            <c:showSerName val="1"/>
            <c:showPercent val="0"/>
          </c:dLbls>
          <c:val>
            <c:numRef>
              <c:f>RESUMEN!$I$20</c:f>
              <c:numCache>
                <c:ptCount val="1"/>
                <c:pt idx="0">
                  <c:v>0</c:v>
                </c:pt>
              </c:numCache>
            </c:numRef>
          </c:val>
        </c:ser>
        <c:ser>
          <c:idx val="3"/>
          <c:order val="3"/>
          <c:tx>
            <c:strRef>
              <c:f>RESUMEN!$J$19</c:f>
              <c:strCache>
                <c:ptCount val="1"/>
                <c:pt idx="0">
                  <c:v>%FP4</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1" i="0" u="none" baseline="0">
                        <a:latin typeface="Arial"/>
                        <a:ea typeface="Arial"/>
                        <a:cs typeface="Arial"/>
                      </a:rPr>
                      <a:t>FP4</a:t>
                    </a:r>
                  </a:p>
                </c:rich>
              </c:tx>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val>
            <c:numRef>
              <c:f>RESUMEN!$J$20</c:f>
              <c:numCache>
                <c:ptCount val="1"/>
                <c:pt idx="0">
                  <c:v>0</c:v>
                </c:pt>
              </c:numCache>
            </c:numRef>
          </c:val>
        </c:ser>
        <c:ser>
          <c:idx val="4"/>
          <c:order val="4"/>
          <c:tx>
            <c:strRef>
              <c:f>RESUMEN!$L$19</c:f>
              <c:strCache>
                <c:ptCount val="1"/>
                <c:pt idx="0">
                  <c:v>%FP6</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1" i="0" u="none" baseline="0">
                        <a:latin typeface="Arial"/>
                        <a:ea typeface="Arial"/>
                        <a:cs typeface="Arial"/>
                      </a:rPr>
                      <a:t>FP5</a:t>
                    </a:r>
                  </a:p>
                </c:rich>
              </c:tx>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val>
            <c:numRef>
              <c:f>RESUMEN!$K$20</c:f>
              <c:numCache>
                <c:ptCount val="1"/>
                <c:pt idx="0">
                  <c:v>0</c:v>
                </c:pt>
              </c:numCache>
            </c:numRef>
          </c:val>
        </c:ser>
        <c:ser>
          <c:idx val="5"/>
          <c:order val="5"/>
          <c:tx>
            <c:strRef>
              <c:f>RESUMEN!$A$34</c:f>
              <c:strCache>
                <c:ptCount val="1"/>
                <c:pt idx="0">
                  <c:v>MORAL</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1" i="0" u="none" baseline="0">
                        <a:latin typeface="Arial"/>
                        <a:ea typeface="Arial"/>
                        <a:cs typeface="Arial"/>
                      </a:rPr>
                      <a:t>FP6</a:t>
                    </a:r>
                  </a:p>
                </c:rich>
              </c:tx>
              <c:numFmt formatCode="General" sourceLinked="1"/>
              <c:showLegendKey val="0"/>
              <c:showVal val="0"/>
              <c:showBubbleSize val="0"/>
              <c:showCatName val="0"/>
              <c:showSerName val="1"/>
              <c:showPercent val="0"/>
            </c:dLbl>
            <c:numFmt formatCode="General" sourceLinked="1"/>
            <c:txPr>
              <a:bodyPr vert="horz" rot="-540000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val>
            <c:numRef>
              <c:f>RESUMEN!$L$20</c:f>
              <c:numCache>
                <c:ptCount val="1"/>
                <c:pt idx="0">
                  <c:v>0</c:v>
                </c:pt>
              </c:numCache>
            </c:numRef>
          </c:val>
        </c:ser>
        <c:ser>
          <c:idx val="6"/>
          <c:order val="6"/>
          <c:tx>
            <c:strRef>
              <c:f>RESUMEN!$M$19</c:f>
              <c:strCache>
                <c:ptCount val="1"/>
                <c:pt idx="0">
                  <c:v>%NO FP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a:t>NO FP</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val>
            <c:numRef>
              <c:f>RESUMEN!$M$20</c:f>
              <c:numCache>
                <c:ptCount val="1"/>
                <c:pt idx="0">
                  <c:v>0</c:v>
                </c:pt>
              </c:numCache>
            </c:numRef>
          </c:val>
        </c:ser>
        <c:axId val="64868218"/>
        <c:axId val="46943051"/>
      </c:barChart>
      <c:catAx>
        <c:axId val="64868218"/>
        <c:scaling>
          <c:orientation val="minMax"/>
        </c:scaling>
        <c:axPos val="b"/>
        <c:delete val="0"/>
        <c:numFmt formatCode="General" sourceLinked="1"/>
        <c:majorTickMark val="out"/>
        <c:minorTickMark val="none"/>
        <c:tickLblPos val="nextTo"/>
        <c:spPr>
          <a:ln w="38100">
            <a:solidFill/>
          </a:ln>
        </c:spPr>
        <c:txPr>
          <a:bodyPr vert="horz" rot="-5400000"/>
          <a:lstStyle/>
          <a:p>
            <a:pPr>
              <a:defRPr lang="en-US" cap="none" sz="1000" b="0" i="0" u="none" baseline="0">
                <a:latin typeface="Arial"/>
                <a:ea typeface="Arial"/>
                <a:cs typeface="Arial"/>
              </a:defRPr>
            </a:pPr>
          </a:p>
        </c:txPr>
        <c:crossAx val="46943051"/>
        <c:crosses val="autoZero"/>
        <c:auto val="1"/>
        <c:lblOffset val="100"/>
        <c:noMultiLvlLbl val="0"/>
      </c:catAx>
      <c:valAx>
        <c:axId val="46943051"/>
        <c:scaling>
          <c:orientation val="minMax"/>
          <c:max val="100"/>
        </c:scaling>
        <c:axPos val="l"/>
        <c:title>
          <c:tx>
            <c:rich>
              <a:bodyPr vert="horz" rot="-5400000" anchor="ctr"/>
              <a:lstStyle/>
              <a:p>
                <a:pPr algn="ctr">
                  <a:defRPr/>
                </a:pPr>
                <a:r>
                  <a:rPr lang="en-US" cap="none" sz="1000" b="1" i="0" u="none" baseline="0">
                    <a:latin typeface="Arial"/>
                    <a:ea typeface="Arial"/>
                    <a:cs typeface="Arial"/>
                  </a:rPr>
                  <a:t>FACTOR</a:t>
                </a:r>
              </a:p>
            </c:rich>
          </c:tx>
          <c:layout/>
          <c:overlay val="0"/>
          <c:spPr>
            <a:noFill/>
            <a:ln>
              <a:noFill/>
            </a:ln>
          </c:spPr>
        </c:title>
        <c:majorGridlines/>
        <c:delete val="0"/>
        <c:numFmt formatCode="General" sourceLinked="1"/>
        <c:majorTickMark val="out"/>
        <c:minorTickMark val="none"/>
        <c:tickLblPos val="nextTo"/>
        <c:spPr>
          <a:ln w="38100">
            <a:solidFill/>
          </a:ln>
        </c:spPr>
        <c:txPr>
          <a:bodyPr/>
          <a:lstStyle/>
          <a:p>
            <a:pPr>
              <a:defRPr lang="en-US" cap="none" sz="1000" b="1" i="0" u="none" baseline="0">
                <a:latin typeface="Arial"/>
                <a:ea typeface="Arial"/>
                <a:cs typeface="Arial"/>
              </a:defRPr>
            </a:pPr>
          </a:p>
        </c:txPr>
        <c:crossAx val="64868218"/>
        <c:crossesAt val="1"/>
        <c:crossBetween val="between"/>
        <c:dispUnits/>
        <c:majorUnit val="20"/>
      </c:valAx>
      <c:spPr>
        <a:noFill/>
        <a:ln>
          <a:noFill/>
        </a:ln>
      </c:spPr>
    </c:plotArea>
    <c:plotVisOnly val="1"/>
    <c:dispBlanksAs val="gap"/>
    <c:showDLblsOverMax val="0"/>
  </c:chart>
  <c:spPr>
    <a:solidFill>
      <a:srgbClr val="CCCCFF"/>
    </a:solidFill>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ASALTO</a:t>
            </a:r>
          </a:p>
        </c:rich>
      </c:tx>
      <c:layout/>
      <c:spPr>
        <a:noFill/>
        <a:ln>
          <a:noFill/>
        </a:ln>
      </c:spPr>
    </c:title>
    <c:plotArea>
      <c:layout>
        <c:manualLayout>
          <c:xMode val="edge"/>
          <c:yMode val="edge"/>
          <c:x val="0.0645"/>
          <c:y val="0.05675"/>
          <c:w val="0.91375"/>
          <c:h val="0.907"/>
        </c:manualLayout>
      </c:layout>
      <c:barChart>
        <c:barDir val="col"/>
        <c:grouping val="clustered"/>
        <c:varyColors val="0"/>
        <c:ser>
          <c:idx val="0"/>
          <c:order val="0"/>
          <c:tx>
            <c:strRef>
              <c:f>RESUMEN!$B$26</c:f>
              <c:strCache>
                <c:ptCount val="1"/>
                <c:pt idx="0">
                  <c:v>vs INFANTERIA LIGERA</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c:showLegendKey val="0"/>
              <c:showVal val="0"/>
              <c:showBubbleSize val="0"/>
              <c:showCatName val="0"/>
              <c:showSerName val="1"/>
              <c:showPercent val="0"/>
            </c:dLbl>
            <c:numFmt formatCode="General" sourceLinked="1"/>
            <c:txPr>
              <a:bodyPr vert="horz" rot="-540000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RESUMEN!$D$26</c:f>
              <c:numCache>
                <c:ptCount val="1"/>
                <c:pt idx="0">
                  <c:v>0</c:v>
                </c:pt>
              </c:numCache>
            </c:numRef>
          </c:val>
        </c:ser>
        <c:ser>
          <c:idx val="1"/>
          <c:order val="1"/>
          <c:tx>
            <c:strRef>
              <c:f>RESUMEN!$B$27</c:f>
              <c:strCache>
                <c:ptCount val="1"/>
                <c:pt idx="0">
                  <c:v>vs INFANTERIA PESADA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50" b="1" i="0" u="none" baseline="0">
                      <a:latin typeface="Arial"/>
                      <a:ea typeface="Arial"/>
                      <a:cs typeface="Arial"/>
                    </a:defRPr>
                  </a:pPr>
                </a:p>
              </c:txPr>
              <c:numFmt formatCode="General" sourceLinked="1"/>
              <c:spPr/>
              <c:showLegendKey val="0"/>
              <c:showVal val="0"/>
              <c:showBubbleSize val="0"/>
              <c:showCatName val="0"/>
              <c:showSerName val="1"/>
              <c:showPercent val="0"/>
            </c:dLbl>
            <c:numFmt formatCode="General" sourceLinked="1"/>
            <c:txPr>
              <a:bodyPr vert="horz" rot="-5400000" anchor="ctr"/>
              <a:lstStyle/>
              <a:p>
                <a:pPr algn="ctr">
                  <a:defRPr lang="en-US" cap="none" sz="950" b="1"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RESUMEN!$D$27</c:f>
              <c:numCache>
                <c:ptCount val="1"/>
                <c:pt idx="0">
                  <c:v>0</c:v>
                </c:pt>
              </c:numCache>
            </c:numRef>
          </c:val>
        </c:ser>
        <c:ser>
          <c:idx val="2"/>
          <c:order val="2"/>
          <c:tx>
            <c:strRef>
              <c:f>RESUMEN!$B$28</c:f>
              <c:strCache>
                <c:ptCount val="1"/>
                <c:pt idx="0">
                  <c:v>vs BIPODES LIGEROS</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0"/>
              <c:showBubbleSize val="0"/>
              <c:showCatName val="0"/>
              <c:showSerName val="1"/>
              <c:showPercent val="0"/>
            </c:dLbl>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RESUMEN!$D$28</c:f>
              <c:numCache>
                <c:ptCount val="1"/>
                <c:pt idx="0">
                  <c:v>0</c:v>
                </c:pt>
              </c:numCache>
            </c:numRef>
          </c:val>
        </c:ser>
        <c:ser>
          <c:idx val="3"/>
          <c:order val="3"/>
          <c:tx>
            <c:strRef>
              <c:f>RESUMEN!$B$29</c:f>
              <c:strCache>
                <c:ptCount val="1"/>
                <c:pt idx="0">
                  <c:v>vs BIPODES PESADOS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540000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RESUMEN!$D$29</c:f>
              <c:numCache>
                <c:ptCount val="1"/>
                <c:pt idx="0">
                  <c:v>0</c:v>
                </c:pt>
              </c:numCache>
            </c:numRef>
          </c:val>
        </c:ser>
        <c:ser>
          <c:idx val="4"/>
          <c:order val="4"/>
          <c:tx>
            <c:strRef>
              <c:f>RESUMEN!$B$31</c:f>
              <c:strCache>
                <c:ptCount val="1"/>
                <c:pt idx="0">
                  <c:v>vs VEHICULO PESADO</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5400000" anchor="ctr"/>
                  <a:lstStyle/>
                  <a:p>
                    <a:pPr algn="ctr">
                      <a:defRPr/>
                    </a:pPr>
                    <a:r>
                      <a:rPr lang="en-US" cap="none" sz="800" b="1" i="0" u="none" baseline="0">
                        <a:latin typeface="Arial"/>
                        <a:ea typeface="Arial"/>
                        <a:cs typeface="Arial"/>
                      </a:rPr>
                      <a:t>vs VEHICULO LIGERO</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540000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RESUMEN!$D$30</c:f>
              <c:numCache>
                <c:ptCount val="1"/>
                <c:pt idx="0">
                  <c:v>0</c:v>
                </c:pt>
              </c:numCache>
            </c:numRef>
          </c:val>
        </c:ser>
        <c:ser>
          <c:idx val="5"/>
          <c:order val="5"/>
          <c:tx>
            <c:strRef>
              <c:f>RESUMEN!$B$31</c:f>
              <c:strCache>
                <c:ptCount val="1"/>
                <c:pt idx="0">
                  <c:v>vs VEHICULO PESADO</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800" b="1" i="0" u="none" baseline="0">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540000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RESUMEN!$D$31</c:f>
              <c:numCache>
                <c:ptCount val="1"/>
                <c:pt idx="0">
                  <c:v>0</c:v>
                </c:pt>
              </c:numCache>
            </c:numRef>
          </c:val>
        </c:ser>
        <c:axId val="19834276"/>
        <c:axId val="44290757"/>
      </c:barChart>
      <c:catAx>
        <c:axId val="19834276"/>
        <c:scaling>
          <c:orientation val="minMax"/>
        </c:scaling>
        <c:axPos val="b"/>
        <c:delete val="0"/>
        <c:numFmt formatCode="General" sourceLinked="1"/>
        <c:majorTickMark val="out"/>
        <c:minorTickMark val="none"/>
        <c:tickLblPos val="nextTo"/>
        <c:spPr>
          <a:ln w="38100">
            <a:solidFill/>
          </a:ln>
        </c:spPr>
        <c:txPr>
          <a:bodyPr vert="horz" rot="-5400000"/>
          <a:lstStyle/>
          <a:p>
            <a:pPr>
              <a:defRPr lang="en-US" cap="none" sz="950" b="0" i="0" u="none" baseline="0">
                <a:latin typeface="Arial"/>
                <a:ea typeface="Arial"/>
                <a:cs typeface="Arial"/>
              </a:defRPr>
            </a:pPr>
          </a:p>
        </c:txPr>
        <c:crossAx val="44290757"/>
        <c:crosses val="autoZero"/>
        <c:auto val="1"/>
        <c:lblOffset val="100"/>
        <c:noMultiLvlLbl val="0"/>
      </c:catAx>
      <c:valAx>
        <c:axId val="44290757"/>
        <c:scaling>
          <c:orientation val="minMax"/>
          <c:max val="5"/>
        </c:scaling>
        <c:axPos val="l"/>
        <c:title>
          <c:tx>
            <c:rich>
              <a:bodyPr vert="horz" rot="-5400000" anchor="ctr"/>
              <a:lstStyle/>
              <a:p>
                <a:pPr algn="ctr">
                  <a:defRPr/>
                </a:pPr>
                <a:r>
                  <a:rPr lang="en-US" cap="none" sz="950" b="1" i="0" u="none" baseline="0">
                    <a:latin typeface="Arial"/>
                    <a:ea typeface="Arial"/>
                    <a:cs typeface="Arial"/>
                  </a:rPr>
                  <a:t>FACTOR</a:t>
                </a:r>
              </a:p>
            </c:rich>
          </c:tx>
          <c:layout/>
          <c:overlay val="0"/>
          <c:spPr>
            <a:noFill/>
            <a:ln>
              <a:noFill/>
            </a:ln>
          </c:spPr>
        </c:title>
        <c:majorGridlines/>
        <c:delete val="0"/>
        <c:numFmt formatCode="General" sourceLinked="1"/>
        <c:majorTickMark val="out"/>
        <c:minorTickMark val="none"/>
        <c:tickLblPos val="nextTo"/>
        <c:spPr>
          <a:ln w="38100">
            <a:solidFill/>
          </a:ln>
        </c:spPr>
        <c:txPr>
          <a:bodyPr/>
          <a:lstStyle/>
          <a:p>
            <a:pPr>
              <a:defRPr lang="en-US" cap="none" sz="950" b="1" i="0" u="none" baseline="0">
                <a:latin typeface="Arial"/>
                <a:ea typeface="Arial"/>
                <a:cs typeface="Arial"/>
              </a:defRPr>
            </a:pPr>
          </a:p>
        </c:txPr>
        <c:crossAx val="19834276"/>
        <c:crossesAt val="1"/>
        <c:crossBetween val="between"/>
        <c:dispUnits/>
      </c:valAx>
      <c:spPr>
        <a:noFill/>
        <a:ln>
          <a:noFill/>
        </a:ln>
      </c:spPr>
    </c:plotArea>
    <c:plotVisOnly val="1"/>
    <c:dispBlanksAs val="gap"/>
    <c:showDLblsOverMax val="0"/>
  </c:chart>
  <c:spPr>
    <a:gradFill rotWithShape="1">
      <a:gsLst>
        <a:gs pos="0">
          <a:srgbClr val="008000"/>
        </a:gs>
        <a:gs pos="50000">
          <a:srgbClr val="B6DAB6"/>
        </a:gs>
        <a:gs pos="100000">
          <a:srgbClr val="008000"/>
        </a:gs>
      </a:gsLst>
      <a:lin ang="5400000" scaled="1"/>
    </a:gradFill>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DISPARO</a:t>
            </a:r>
          </a:p>
        </c:rich>
      </c:tx>
      <c:layout/>
      <c:spPr>
        <a:noFill/>
        <a:ln>
          <a:noFill/>
        </a:ln>
      </c:spPr>
    </c:title>
    <c:plotArea>
      <c:layout>
        <c:manualLayout>
          <c:xMode val="edge"/>
          <c:yMode val="edge"/>
          <c:x val="0.06475"/>
          <c:y val="0.0565"/>
          <c:w val="0.91325"/>
          <c:h val="0.90725"/>
        </c:manualLayout>
      </c:layout>
      <c:barChart>
        <c:barDir val="col"/>
        <c:grouping val="clustered"/>
        <c:varyColors val="0"/>
        <c:ser>
          <c:idx val="0"/>
          <c:order val="0"/>
          <c:tx>
            <c:strRef>
              <c:f>RESUMEN!$B$20</c:f>
              <c:strCache>
                <c:ptCount val="1"/>
                <c:pt idx="0">
                  <c:v>vs INFANTERIA LIGERA</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5400000" anchor="ctr"/>
                  <a:lstStyle/>
                  <a:p>
                    <a:pPr algn="ctr">
                      <a:defRPr/>
                    </a:pPr>
                    <a:r>
                      <a:rPr lang="en-US" cap="none" sz="800" b="1" i="0" u="none" baseline="0">
                        <a:latin typeface="Arial"/>
                        <a:ea typeface="Arial"/>
                        <a:cs typeface="Arial"/>
                      </a:rPr>
                      <a:t>vs INFANTERIA
 LIGERA</a:t>
                    </a:r>
                  </a:p>
                </c:rich>
              </c:tx>
              <c:numFmt formatCode="General" sourceLinked="1"/>
              <c:spPr/>
              <c:showLegendKey val="0"/>
              <c:showVal val="0"/>
              <c:showBubbleSize val="0"/>
              <c:showCatName val="0"/>
              <c:showSerName val="1"/>
              <c:showPercent val="0"/>
            </c:dLbl>
            <c:numFmt formatCode="General" sourceLinked="1"/>
            <c:txPr>
              <a:bodyPr vert="horz" rot="-540000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RESUMEN!$D$20</c:f>
              <c:numCache>
                <c:ptCount val="1"/>
                <c:pt idx="0">
                  <c:v>0</c:v>
                </c:pt>
              </c:numCache>
            </c:numRef>
          </c:val>
        </c:ser>
        <c:ser>
          <c:idx val="1"/>
          <c:order val="1"/>
          <c:tx>
            <c:strRef>
              <c:f>RESUMEN!$B$21</c:f>
              <c:strCache>
                <c:ptCount val="1"/>
                <c:pt idx="0">
                  <c:v>vs INFANTERIA PESADA</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5400000" anchor="ctr"/>
                  <a:lstStyle/>
                  <a:p>
                    <a:pPr algn="ctr">
                      <a:defRPr/>
                    </a:pPr>
                    <a:r>
                      <a:rPr lang="en-US" cap="none" sz="950" b="1" i="0" u="none" baseline="0">
                        <a:latin typeface="Arial"/>
                        <a:ea typeface="Arial"/>
                        <a:cs typeface="Arial"/>
                      </a:rPr>
                      <a:t>vs INFANTERIA 
PESADA</a:t>
                    </a:r>
                  </a:p>
                </c:rich>
              </c:tx>
              <c:numFmt formatCode="General" sourceLinked="1"/>
              <c:spPr/>
              <c:showLegendKey val="0"/>
              <c:showVal val="0"/>
              <c:showBubbleSize val="0"/>
              <c:showCatName val="0"/>
              <c:showSerName val="1"/>
              <c:showPercent val="0"/>
            </c:dLbl>
            <c:numFmt formatCode="General" sourceLinked="1"/>
            <c:txPr>
              <a:bodyPr vert="horz" rot="-5400000" anchor="ctr"/>
              <a:lstStyle/>
              <a:p>
                <a:pPr algn="ctr">
                  <a:defRPr lang="en-US" cap="none" sz="950" b="1"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RESUMEN!$D$21</c:f>
              <c:numCache>
                <c:ptCount val="1"/>
                <c:pt idx="0">
                  <c:v>0</c:v>
                </c:pt>
              </c:numCache>
            </c:numRef>
          </c:val>
        </c:ser>
        <c:ser>
          <c:idx val="2"/>
          <c:order val="2"/>
          <c:tx>
            <c:strRef>
              <c:f>RESUMEN!$B$22</c:f>
              <c:strCache>
                <c:ptCount val="1"/>
                <c:pt idx="0">
                  <c:v>vs TANQUE LIGERO</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5400000" anchor="ctr"/>
                  <a:lstStyle/>
                  <a:p>
                    <a:pPr algn="ctr">
                      <a:defRPr/>
                    </a:pPr>
                    <a:r>
                      <a:rPr lang="en-US" cap="none" sz="800" b="0" i="0" u="none" baseline="0">
                        <a:latin typeface="Arial"/>
                        <a:ea typeface="Arial"/>
                        <a:cs typeface="Arial"/>
                      </a:rPr>
                      <a:t>vs TANQUE
 LIGERO</a:t>
                    </a:r>
                  </a:p>
                </c:rich>
              </c:tx>
              <c:numFmt formatCode="General" sourceLinked="1"/>
              <c:spPr/>
              <c:showLegendKey val="0"/>
              <c:showVal val="0"/>
              <c:showBubbleSize val="0"/>
              <c:showCatName val="0"/>
              <c:showSerName val="1"/>
              <c:showPercent val="0"/>
            </c:dLbl>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RESUMEN!$D$22</c:f>
              <c:numCache>
                <c:ptCount val="1"/>
                <c:pt idx="0">
                  <c:v>0</c:v>
                </c:pt>
              </c:numCache>
            </c:numRef>
          </c:val>
        </c:ser>
        <c:ser>
          <c:idx val="3"/>
          <c:order val="3"/>
          <c:tx>
            <c:strRef>
              <c:f>RESUMEN!$B$23</c:f>
              <c:strCache>
                <c:ptCount val="1"/>
                <c:pt idx="0">
                  <c:v>vs TANQUE PESADO</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5400000" anchor="ctr"/>
                  <a:lstStyle/>
                  <a:p>
                    <a:pPr algn="ctr">
                      <a:defRPr/>
                    </a:pPr>
                    <a:r>
                      <a:rPr lang="en-US" cap="none" sz="800" b="1" i="0" u="none" baseline="0">
                        <a:latin typeface="Arial"/>
                        <a:ea typeface="Arial"/>
                        <a:cs typeface="Arial"/>
                      </a:rPr>
                      <a:t>vs TANQUE 
PESADO</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540000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cat>
            <c:numRef>
              <c:f>RESUMEN!$B$39:$H$39</c:f>
              <c:numCache>
                <c:ptCount val="1"/>
                <c:pt idx="0">
                  <c:v>0</c:v>
                </c:pt>
              </c:numCache>
            </c:numRef>
          </c:cat>
          <c:val>
            <c:numRef>
              <c:f>RESUMEN!$D$23</c:f>
              <c:numCache>
                <c:ptCount val="1"/>
                <c:pt idx="0">
                  <c:v>0</c:v>
                </c:pt>
              </c:numCache>
            </c:numRef>
          </c:val>
        </c:ser>
        <c:axId val="63072494"/>
        <c:axId val="30781535"/>
      </c:barChart>
      <c:catAx>
        <c:axId val="63072494"/>
        <c:scaling>
          <c:orientation val="minMax"/>
        </c:scaling>
        <c:axPos val="b"/>
        <c:delete val="0"/>
        <c:numFmt formatCode="General" sourceLinked="1"/>
        <c:majorTickMark val="out"/>
        <c:minorTickMark val="none"/>
        <c:tickLblPos val="nextTo"/>
        <c:spPr>
          <a:ln w="38100">
            <a:solidFill/>
          </a:ln>
        </c:spPr>
        <c:txPr>
          <a:bodyPr vert="horz" rot="-5400000"/>
          <a:lstStyle/>
          <a:p>
            <a:pPr>
              <a:defRPr lang="en-US" cap="none" sz="950" b="0" i="0" u="none" baseline="0">
                <a:latin typeface="Arial"/>
                <a:ea typeface="Arial"/>
                <a:cs typeface="Arial"/>
              </a:defRPr>
            </a:pPr>
          </a:p>
        </c:txPr>
        <c:crossAx val="30781535"/>
        <c:crosses val="autoZero"/>
        <c:auto val="1"/>
        <c:lblOffset val="100"/>
        <c:noMultiLvlLbl val="0"/>
      </c:catAx>
      <c:valAx>
        <c:axId val="30781535"/>
        <c:scaling>
          <c:orientation val="minMax"/>
          <c:max val="5"/>
        </c:scaling>
        <c:axPos val="l"/>
        <c:title>
          <c:tx>
            <c:rich>
              <a:bodyPr vert="horz" rot="-5400000" anchor="ctr"/>
              <a:lstStyle/>
              <a:p>
                <a:pPr algn="ctr">
                  <a:defRPr/>
                </a:pPr>
                <a:r>
                  <a:rPr lang="en-US" cap="none" sz="950" b="1" i="0" u="none" baseline="0">
                    <a:latin typeface="Arial"/>
                    <a:ea typeface="Arial"/>
                    <a:cs typeface="Arial"/>
                  </a:rPr>
                  <a:t>FACTOR</a:t>
                </a:r>
              </a:p>
            </c:rich>
          </c:tx>
          <c:layout/>
          <c:overlay val="0"/>
          <c:spPr>
            <a:noFill/>
            <a:ln>
              <a:noFill/>
            </a:ln>
          </c:spPr>
        </c:title>
        <c:majorGridlines/>
        <c:delete val="0"/>
        <c:numFmt formatCode="General" sourceLinked="1"/>
        <c:majorTickMark val="out"/>
        <c:minorTickMark val="none"/>
        <c:tickLblPos val="nextTo"/>
        <c:spPr>
          <a:ln w="38100">
            <a:solidFill/>
          </a:ln>
        </c:spPr>
        <c:txPr>
          <a:bodyPr/>
          <a:lstStyle/>
          <a:p>
            <a:pPr>
              <a:defRPr lang="en-US" cap="none" sz="950" b="1" i="0" u="none" baseline="0">
                <a:latin typeface="Arial"/>
                <a:ea typeface="Arial"/>
                <a:cs typeface="Arial"/>
              </a:defRPr>
            </a:pPr>
          </a:p>
        </c:txPr>
        <c:crossAx val="63072494"/>
        <c:crossesAt val="1"/>
        <c:crossBetween val="between"/>
        <c:dispUnits/>
      </c:valAx>
      <c:spPr>
        <a:noFill/>
        <a:ln>
          <a:noFill/>
        </a:ln>
      </c:spPr>
    </c:plotArea>
    <c:plotVisOnly val="1"/>
    <c:dispBlanksAs val="gap"/>
    <c:showDLblsOverMax val="0"/>
  </c:chart>
  <c:spPr>
    <a:gradFill rotWithShape="1">
      <a:gsLst>
        <a:gs pos="0">
          <a:srgbClr val="FF99CC"/>
        </a:gs>
        <a:gs pos="50000">
          <a:srgbClr val="FFE1F0"/>
        </a:gs>
        <a:gs pos="100000">
          <a:srgbClr val="FF99CC"/>
        </a:gs>
      </a:gsLst>
      <a:lin ang="5400000" scaled="1"/>
    </a:gradFill>
  </c:spPr>
  <c:txPr>
    <a:bodyPr vert="horz" rot="0"/>
    <a:lstStyle/>
    <a:p>
      <a:pPr>
        <a:defRPr lang="en-US" cap="none" sz="9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PENETRACIÓN DE LA POTENCIA DE FUEGO 
CONTRA INFANTERIA PESADA</a:t>
            </a:r>
          </a:p>
        </c:rich>
      </c:tx>
      <c:layout/>
      <c:spPr>
        <a:noFill/>
        <a:ln>
          <a:noFill/>
        </a:ln>
      </c:spPr>
    </c:title>
    <c:plotArea>
      <c:layout/>
      <c:barChart>
        <c:barDir val="col"/>
        <c:grouping val="clustered"/>
        <c:varyColors val="0"/>
        <c:ser>
          <c:idx val="0"/>
          <c:order val="0"/>
          <c:tx>
            <c:strRef>
              <c:f>RESUMEN!$G$19</c:f>
              <c:strCache>
                <c:ptCount val="1"/>
                <c:pt idx="0">
                  <c:v> %FP1</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1" i="0" u="none" baseline="0">
                        <a:latin typeface="Arial"/>
                        <a:ea typeface="Arial"/>
                        <a:cs typeface="Arial"/>
                      </a:rPr>
                      <a:t>FP1</a:t>
                    </a:r>
                  </a:p>
                </c:rich>
              </c:tx>
              <c:numFmt formatCode="General" sourceLinked="1"/>
              <c:showLegendKey val="0"/>
              <c:showVal val="0"/>
              <c:showBubbleSize val="0"/>
              <c:showCatName val="0"/>
              <c:showSerName val="1"/>
              <c:showPercent val="0"/>
            </c:dLbl>
            <c:numFmt formatCode="General" sourceLinked="1"/>
            <c:txPr>
              <a:bodyPr vert="horz" rot="-540000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val>
            <c:numRef>
              <c:f>RESUMEN!$G$21</c:f>
              <c:numCache>
                <c:ptCount val="1"/>
                <c:pt idx="0">
                  <c:v>0</c:v>
                </c:pt>
              </c:numCache>
            </c:numRef>
          </c:val>
        </c:ser>
        <c:ser>
          <c:idx val="1"/>
          <c:order val="1"/>
          <c:tx>
            <c:strRef>
              <c:f>RESUMEN!$H$19</c:f>
              <c:strCache>
                <c:ptCount val="1"/>
                <c:pt idx="0">
                  <c:v>%FP2</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1" i="0" u="none" baseline="0">
                        <a:latin typeface="Arial"/>
                        <a:ea typeface="Arial"/>
                        <a:cs typeface="Arial"/>
                      </a:rPr>
                      <a:t>FP2</a:t>
                    </a:r>
                  </a:p>
                </c:rich>
              </c:tx>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1" i="0" u="none" baseline="0">
                    <a:latin typeface="Arial"/>
                    <a:ea typeface="Arial"/>
                    <a:cs typeface="Arial"/>
                  </a:defRPr>
                </a:pPr>
              </a:p>
            </c:txPr>
            <c:dLblPos val="outEnd"/>
            <c:showLegendKey val="0"/>
            <c:showVal val="0"/>
            <c:showBubbleSize val="0"/>
            <c:showCatName val="0"/>
            <c:showSerName val="1"/>
            <c:showPercent val="0"/>
          </c:dLbls>
          <c:val>
            <c:numRef>
              <c:f>RESUMEN!$H$21</c:f>
              <c:numCache>
                <c:ptCount val="1"/>
                <c:pt idx="0">
                  <c:v>0</c:v>
                </c:pt>
              </c:numCache>
            </c:numRef>
          </c:val>
        </c:ser>
        <c:ser>
          <c:idx val="2"/>
          <c:order val="2"/>
          <c:tx>
            <c:strRef>
              <c:f>RESUMEN!$I$19</c:f>
              <c:strCache>
                <c:ptCount val="1"/>
                <c:pt idx="0">
                  <c:v>%FP3</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latin typeface="Arial"/>
                        <a:ea typeface="Arial"/>
                        <a:cs typeface="Arial"/>
                      </a:rPr>
                      <a:t>FP3</a:t>
                    </a:r>
                  </a:p>
                </c:rich>
              </c:tx>
              <c:numFmt formatCode="General" sourceLinked="1"/>
              <c:showLegendKey val="0"/>
              <c:showVal val="0"/>
              <c:showBubbleSize val="0"/>
              <c:showCatName val="0"/>
              <c:showSerName val="1"/>
              <c:showPercent val="0"/>
            </c:dLbl>
            <c:numFmt formatCode="General" sourceLinked="1"/>
            <c:txPr>
              <a:bodyPr vert="horz" rot="-5400000" anchor="ctr"/>
              <a:lstStyle/>
              <a:p>
                <a:pPr algn="ctr">
                  <a:defRPr lang="en-US" cap="none" sz="800" b="0" i="0" u="none" baseline="0">
                    <a:latin typeface="Arial"/>
                    <a:ea typeface="Arial"/>
                    <a:cs typeface="Arial"/>
                  </a:defRPr>
                </a:pPr>
              </a:p>
            </c:txPr>
            <c:dLblPos val="outEnd"/>
            <c:showLegendKey val="0"/>
            <c:showVal val="0"/>
            <c:showBubbleSize val="0"/>
            <c:showCatName val="0"/>
            <c:showSerName val="1"/>
            <c:showPercent val="0"/>
          </c:dLbls>
          <c:val>
            <c:numRef>
              <c:f>RESUMEN!$I$21</c:f>
              <c:numCache>
                <c:ptCount val="1"/>
                <c:pt idx="0">
                  <c:v>0</c:v>
                </c:pt>
              </c:numCache>
            </c:numRef>
          </c:val>
        </c:ser>
        <c:ser>
          <c:idx val="3"/>
          <c:order val="3"/>
          <c:tx>
            <c:strRef>
              <c:f>RESUMEN!$J$19</c:f>
              <c:strCache>
                <c:ptCount val="1"/>
                <c:pt idx="0">
                  <c:v>%FP4</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1" i="0" u="none" baseline="0">
                        <a:latin typeface="Arial"/>
                        <a:ea typeface="Arial"/>
                        <a:cs typeface="Arial"/>
                      </a:rPr>
                      <a:t>FP4</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val>
            <c:numRef>
              <c:f>RESUMEN!$J$21</c:f>
              <c:numCache>
                <c:ptCount val="1"/>
                <c:pt idx="0">
                  <c:v>0</c:v>
                </c:pt>
              </c:numCache>
            </c:numRef>
          </c:val>
        </c:ser>
        <c:ser>
          <c:idx val="4"/>
          <c:order val="4"/>
          <c:tx>
            <c:strRef>
              <c:f>RESUMEN!$L$19</c:f>
              <c:strCache>
                <c:ptCount val="1"/>
                <c:pt idx="0">
                  <c:v>%FP6</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1" i="0" u="none" baseline="0">
                        <a:latin typeface="Arial"/>
                        <a:ea typeface="Arial"/>
                        <a:cs typeface="Arial"/>
                      </a:rPr>
                      <a:t>FP5</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val>
            <c:numRef>
              <c:f>RESUMEN!$K$21</c:f>
              <c:numCache>
                <c:ptCount val="1"/>
                <c:pt idx="0">
                  <c:v>0</c:v>
                </c:pt>
              </c:numCache>
            </c:numRef>
          </c:val>
        </c:ser>
        <c:ser>
          <c:idx val="5"/>
          <c:order val="5"/>
          <c:tx>
            <c:strRef>
              <c:f>RESUMEN!$A$34</c:f>
              <c:strCache>
                <c:ptCount val="1"/>
                <c:pt idx="0">
                  <c:v>MORAL</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5400000" anchor="ctr"/>
                  <a:lstStyle/>
                  <a:p>
                    <a:pPr algn="ctr">
                      <a:defRPr/>
                    </a:pPr>
                    <a:r>
                      <a:rPr lang="en-US" cap="none" sz="800" b="1" i="0" u="none" baseline="0">
                        <a:latin typeface="Arial"/>
                        <a:ea typeface="Arial"/>
                        <a:cs typeface="Arial"/>
                      </a:rPr>
                      <a:t>FP6</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5400000" anchor="ctr"/>
              <a:lstStyle/>
              <a:p>
                <a:pPr algn="ctr">
                  <a:defRPr lang="en-US" cap="none" sz="800" b="1" i="0" u="none" baseline="0">
                    <a:latin typeface="Arial"/>
                    <a:ea typeface="Arial"/>
                    <a:cs typeface="Arial"/>
                  </a:defRPr>
                </a:pPr>
              </a:p>
            </c:txPr>
            <c:dLblPos val="outEnd"/>
            <c:showLegendKey val="0"/>
            <c:showVal val="0"/>
            <c:showBubbleSize val="0"/>
            <c:showCatName val="0"/>
            <c:showSerName val="1"/>
            <c:showPercent val="0"/>
          </c:dLbls>
          <c:val>
            <c:numRef>
              <c:f>RESUMEN!$L$21</c:f>
              <c:numCache>
                <c:ptCount val="1"/>
                <c:pt idx="0">
                  <c:v>0</c:v>
                </c:pt>
              </c:numCache>
            </c:numRef>
          </c:val>
        </c:ser>
        <c:ser>
          <c:idx val="6"/>
          <c:order val="6"/>
          <c:tx>
            <c:strRef>
              <c:f>RESUMEN!$M$19</c:f>
              <c:strCache>
                <c:ptCount val="1"/>
                <c:pt idx="0">
                  <c:v>%NO FP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800" b="1" i="0" u="none" baseline="0">
                        <a:latin typeface="Arial"/>
                        <a:ea typeface="Arial"/>
                        <a:cs typeface="Arial"/>
                      </a:rPr>
                      <a:t>NO FP</a:t>
                    </a:r>
                  </a:p>
                </c:rich>
              </c:tx>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val>
            <c:numRef>
              <c:f>RESUMEN!$M$20</c:f>
              <c:numCache>
                <c:ptCount val="1"/>
                <c:pt idx="0">
                  <c:v>0</c:v>
                </c:pt>
              </c:numCache>
            </c:numRef>
          </c:val>
        </c:ser>
        <c:axId val="8598360"/>
        <c:axId val="10276377"/>
      </c:barChart>
      <c:catAx>
        <c:axId val="8598360"/>
        <c:scaling>
          <c:orientation val="minMax"/>
        </c:scaling>
        <c:axPos val="b"/>
        <c:delete val="0"/>
        <c:numFmt formatCode="General" sourceLinked="1"/>
        <c:majorTickMark val="out"/>
        <c:minorTickMark val="none"/>
        <c:tickLblPos val="nextTo"/>
        <c:spPr>
          <a:ln w="38100">
            <a:solidFill/>
          </a:ln>
        </c:spPr>
        <c:txPr>
          <a:bodyPr vert="horz" rot="-5400000"/>
          <a:lstStyle/>
          <a:p>
            <a:pPr>
              <a:defRPr lang="en-US" cap="none" sz="1000" b="0" i="0" u="none" baseline="0">
                <a:latin typeface="Arial"/>
                <a:ea typeface="Arial"/>
                <a:cs typeface="Arial"/>
              </a:defRPr>
            </a:pPr>
          </a:p>
        </c:txPr>
        <c:crossAx val="10276377"/>
        <c:crosses val="autoZero"/>
        <c:auto val="1"/>
        <c:lblOffset val="100"/>
        <c:noMultiLvlLbl val="0"/>
      </c:catAx>
      <c:valAx>
        <c:axId val="10276377"/>
        <c:scaling>
          <c:orientation val="minMax"/>
          <c:max val="100"/>
        </c:scaling>
        <c:axPos val="l"/>
        <c:title>
          <c:tx>
            <c:rich>
              <a:bodyPr vert="horz" rot="-5400000" anchor="ctr"/>
              <a:lstStyle/>
              <a:p>
                <a:pPr algn="ctr">
                  <a:defRPr/>
                </a:pPr>
                <a:r>
                  <a:rPr lang="en-US" cap="none" sz="1000" b="1" i="0" u="none" baseline="0">
                    <a:latin typeface="Arial"/>
                    <a:ea typeface="Arial"/>
                    <a:cs typeface="Arial"/>
                  </a:rPr>
                  <a:t>FACTOR</a:t>
                </a:r>
              </a:p>
            </c:rich>
          </c:tx>
          <c:layout/>
          <c:overlay val="0"/>
          <c:spPr>
            <a:noFill/>
            <a:ln>
              <a:noFill/>
            </a:ln>
          </c:spPr>
        </c:title>
        <c:majorGridlines/>
        <c:delete val="0"/>
        <c:numFmt formatCode="General" sourceLinked="1"/>
        <c:majorTickMark val="out"/>
        <c:minorTickMark val="none"/>
        <c:tickLblPos val="nextTo"/>
        <c:spPr>
          <a:ln w="38100">
            <a:solidFill/>
          </a:ln>
        </c:spPr>
        <c:txPr>
          <a:bodyPr/>
          <a:lstStyle/>
          <a:p>
            <a:pPr>
              <a:defRPr lang="en-US" cap="none" sz="1000" b="1" i="0" u="none" baseline="0">
                <a:latin typeface="Arial"/>
                <a:ea typeface="Arial"/>
                <a:cs typeface="Arial"/>
              </a:defRPr>
            </a:pPr>
          </a:p>
        </c:txPr>
        <c:crossAx val="8598360"/>
        <c:crossesAt val="1"/>
        <c:crossBetween val="between"/>
        <c:dispUnits/>
        <c:majorUnit val="20"/>
      </c:valAx>
      <c:spPr>
        <a:noFill/>
        <a:ln>
          <a:noFill/>
        </a:ln>
      </c:spPr>
    </c:plotArea>
    <c:plotVisOnly val="1"/>
    <c:dispBlanksAs val="gap"/>
    <c:showDLblsOverMax val="0"/>
  </c:chart>
  <c:spPr>
    <a:solidFill>
      <a:srgbClr val="CCCCFF"/>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2</xdr:row>
      <xdr:rowOff>9525</xdr:rowOff>
    </xdr:from>
    <xdr:to>
      <xdr:col>13</xdr:col>
      <xdr:colOff>361950</xdr:colOff>
      <xdr:row>16</xdr:row>
      <xdr:rowOff>9525</xdr:rowOff>
    </xdr:to>
    <xdr:graphicFrame>
      <xdr:nvGraphicFramePr>
        <xdr:cNvPr id="1" name="Chart 1"/>
        <xdr:cNvGraphicFramePr/>
      </xdr:nvGraphicFramePr>
      <xdr:xfrm>
        <a:off x="3419475" y="523875"/>
        <a:ext cx="5629275" cy="2695575"/>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57</xdr:row>
      <xdr:rowOff>38100</xdr:rowOff>
    </xdr:from>
    <xdr:to>
      <xdr:col>6</xdr:col>
      <xdr:colOff>323850</xdr:colOff>
      <xdr:row>76</xdr:row>
      <xdr:rowOff>133350</xdr:rowOff>
    </xdr:to>
    <xdr:graphicFrame>
      <xdr:nvGraphicFramePr>
        <xdr:cNvPr id="2" name="Chart 2"/>
        <xdr:cNvGraphicFramePr/>
      </xdr:nvGraphicFramePr>
      <xdr:xfrm>
        <a:off x="200025" y="10315575"/>
        <a:ext cx="4695825" cy="3171825"/>
      </xdr:xfrm>
      <a:graphic>
        <a:graphicData uri="http://schemas.openxmlformats.org/drawingml/2006/chart">
          <c:chart xmlns:c="http://schemas.openxmlformats.org/drawingml/2006/chart" r:id="rId2"/>
        </a:graphicData>
      </a:graphic>
    </xdr:graphicFrame>
    <xdr:clientData/>
  </xdr:twoCellAnchor>
  <xdr:twoCellAnchor>
    <xdr:from>
      <xdr:col>6</xdr:col>
      <xdr:colOff>142875</xdr:colOff>
      <xdr:row>40</xdr:row>
      <xdr:rowOff>0</xdr:rowOff>
    </xdr:from>
    <xdr:to>
      <xdr:col>13</xdr:col>
      <xdr:colOff>495300</xdr:colOff>
      <xdr:row>56</xdr:row>
      <xdr:rowOff>114300</xdr:rowOff>
    </xdr:to>
    <xdr:graphicFrame>
      <xdr:nvGraphicFramePr>
        <xdr:cNvPr id="3" name="Chart 3"/>
        <xdr:cNvGraphicFramePr/>
      </xdr:nvGraphicFramePr>
      <xdr:xfrm>
        <a:off x="4714875" y="7524750"/>
        <a:ext cx="4467225" cy="2705100"/>
      </xdr:xfrm>
      <a:graphic>
        <a:graphicData uri="http://schemas.openxmlformats.org/drawingml/2006/chart">
          <c:chart xmlns:c="http://schemas.openxmlformats.org/drawingml/2006/chart" r:id="rId3"/>
        </a:graphicData>
      </a:graphic>
    </xdr:graphicFrame>
    <xdr:clientData/>
  </xdr:twoCellAnchor>
  <xdr:twoCellAnchor>
    <xdr:from>
      <xdr:col>0</xdr:col>
      <xdr:colOff>171450</xdr:colOff>
      <xdr:row>40</xdr:row>
      <xdr:rowOff>0</xdr:rowOff>
    </xdr:from>
    <xdr:to>
      <xdr:col>6</xdr:col>
      <xdr:colOff>28575</xdr:colOff>
      <xdr:row>56</xdr:row>
      <xdr:rowOff>123825</xdr:rowOff>
    </xdr:to>
    <xdr:graphicFrame>
      <xdr:nvGraphicFramePr>
        <xdr:cNvPr id="4" name="Chart 4"/>
        <xdr:cNvGraphicFramePr/>
      </xdr:nvGraphicFramePr>
      <xdr:xfrm>
        <a:off x="171450" y="7524750"/>
        <a:ext cx="4429125" cy="2714625"/>
      </xdr:xfrm>
      <a:graphic>
        <a:graphicData uri="http://schemas.openxmlformats.org/drawingml/2006/chart">
          <c:chart xmlns:c="http://schemas.openxmlformats.org/drawingml/2006/chart" r:id="rId4"/>
        </a:graphicData>
      </a:graphic>
    </xdr:graphicFrame>
    <xdr:clientData/>
  </xdr:twoCellAnchor>
  <xdr:twoCellAnchor>
    <xdr:from>
      <xdr:col>6</xdr:col>
      <xdr:colOff>438150</xdr:colOff>
      <xdr:row>57</xdr:row>
      <xdr:rowOff>66675</xdr:rowOff>
    </xdr:from>
    <xdr:to>
      <xdr:col>14</xdr:col>
      <xdr:colOff>266700</xdr:colOff>
      <xdr:row>77</xdr:row>
      <xdr:rowOff>9525</xdr:rowOff>
    </xdr:to>
    <xdr:graphicFrame>
      <xdr:nvGraphicFramePr>
        <xdr:cNvPr id="5" name="Chart 5"/>
        <xdr:cNvGraphicFramePr/>
      </xdr:nvGraphicFramePr>
      <xdr:xfrm>
        <a:off x="5010150" y="10344150"/>
        <a:ext cx="4705350" cy="3181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233"/>
  <sheetViews>
    <sheetView workbookViewId="0" topLeftCell="A1">
      <selection activeCell="J138" sqref="J138"/>
    </sheetView>
  </sheetViews>
  <sheetFormatPr defaultColWidth="11.421875" defaultRowHeight="12.75"/>
  <cols>
    <col min="1" max="1" width="5.421875" style="368" customWidth="1"/>
    <col min="2" max="2" width="11.421875" style="368" customWidth="1"/>
    <col min="3" max="3" width="8.28125" style="368" customWidth="1"/>
    <col min="4" max="4" width="6.57421875" style="368" customWidth="1"/>
    <col min="5" max="5" width="6.8515625" style="368" customWidth="1"/>
    <col min="6" max="6" width="11.421875" style="368" customWidth="1"/>
    <col min="7" max="7" width="7.7109375" style="368" customWidth="1"/>
    <col min="8" max="8" width="7.140625" style="368" customWidth="1"/>
    <col min="9" max="14" width="11.421875" style="368" customWidth="1"/>
    <col min="15" max="17" width="8.28125" style="368" customWidth="1"/>
    <col min="18" max="18" width="11.421875" style="368" customWidth="1"/>
    <col min="19" max="19" width="9.00390625" style="0" customWidth="1"/>
    <col min="20" max="20" width="8.28125" style="0" customWidth="1"/>
    <col min="21" max="21" width="11.00390625" style="0" customWidth="1"/>
    <col min="22" max="28" width="4.7109375" style="0" customWidth="1"/>
  </cols>
  <sheetData>
    <row r="1" spans="1:18" s="13" customFormat="1" ht="18.75" thickBot="1">
      <c r="A1" s="389"/>
      <c r="B1" s="397" t="s">
        <v>587</v>
      </c>
      <c r="C1" s="398"/>
      <c r="D1" s="398"/>
      <c r="E1" s="398"/>
      <c r="F1" s="398"/>
      <c r="G1" s="398"/>
      <c r="H1" s="398"/>
      <c r="I1" s="398"/>
      <c r="J1" s="398"/>
      <c r="K1" s="398"/>
      <c r="L1" s="398"/>
      <c r="M1" s="398"/>
      <c r="N1" s="398"/>
      <c r="O1" s="398"/>
      <c r="P1" s="398"/>
      <c r="Q1" s="398"/>
      <c r="R1" s="398"/>
    </row>
    <row r="2" spans="1:18" s="16" customFormat="1" ht="18">
      <c r="A2" s="390"/>
      <c r="B2" s="399"/>
      <c r="C2" s="390"/>
      <c r="D2" s="390"/>
      <c r="E2" s="390"/>
      <c r="F2" s="390"/>
      <c r="G2" s="390"/>
      <c r="H2" s="390"/>
      <c r="I2" s="390"/>
      <c r="J2" s="390"/>
      <c r="K2" s="390"/>
      <c r="L2" s="390"/>
      <c r="M2" s="390"/>
      <c r="N2" s="390"/>
      <c r="O2" s="390"/>
      <c r="P2" s="390"/>
      <c r="Q2" s="390"/>
      <c r="R2" s="390"/>
    </row>
    <row r="3" spans="13:24" ht="20.25">
      <c r="M3" s="110"/>
      <c r="N3" s="447"/>
      <c r="O3" s="447"/>
      <c r="P3" s="447"/>
      <c r="Q3" s="447"/>
      <c r="R3" s="447"/>
      <c r="S3" s="63"/>
      <c r="T3" s="63"/>
      <c r="U3" s="14"/>
      <c r="V3" s="14"/>
      <c r="W3" s="14"/>
      <c r="X3" s="14"/>
    </row>
    <row r="4" spans="13:24" ht="12.75">
      <c r="M4" s="390"/>
      <c r="N4" s="390"/>
      <c r="O4" s="390"/>
      <c r="P4" s="390"/>
      <c r="Q4" s="390"/>
      <c r="R4" s="390"/>
      <c r="S4" s="130"/>
      <c r="T4" s="130"/>
      <c r="U4" s="14"/>
      <c r="V4" s="14"/>
      <c r="W4" s="14"/>
      <c r="X4" s="14"/>
    </row>
    <row r="5" spans="2:24" ht="15.75">
      <c r="B5" s="129" t="s">
        <v>161</v>
      </c>
      <c r="F5" s="400"/>
      <c r="G5" s="400"/>
      <c r="H5" s="129" t="s">
        <v>184</v>
      </c>
      <c r="K5" s="401"/>
      <c r="L5" s="401"/>
      <c r="M5" s="390"/>
      <c r="N5" s="390"/>
      <c r="O5" s="390"/>
      <c r="P5" s="390"/>
      <c r="Q5" s="390"/>
      <c r="R5" s="390"/>
      <c r="S5" s="130"/>
      <c r="T5" s="130"/>
      <c r="U5" s="14"/>
      <c r="V5" s="14"/>
      <c r="W5" s="14"/>
      <c r="X5" s="14"/>
    </row>
    <row r="6" spans="2:20" ht="12.75">
      <c r="B6" s="111"/>
      <c r="C6" s="111"/>
      <c r="D6" s="405"/>
      <c r="E6" s="405"/>
      <c r="F6" s="405"/>
      <c r="G6" s="405"/>
      <c r="H6" s="390"/>
      <c r="I6" s="401"/>
      <c r="J6" s="401"/>
      <c r="K6" s="401"/>
      <c r="L6" s="401"/>
      <c r="M6" s="390"/>
      <c r="N6" s="390"/>
      <c r="O6" s="390"/>
      <c r="P6" s="390"/>
      <c r="Q6" s="390"/>
      <c r="R6" s="390"/>
      <c r="S6" s="130"/>
      <c r="T6" s="130"/>
    </row>
    <row r="7" spans="2:20" ht="13.5" thickBot="1">
      <c r="B7" s="111" t="s">
        <v>163</v>
      </c>
      <c r="C7" s="111"/>
      <c r="D7" s="113"/>
      <c r="E7" s="448" t="s">
        <v>164</v>
      </c>
      <c r="F7" s="113"/>
      <c r="G7" s="401"/>
      <c r="H7" s="129" t="s">
        <v>146</v>
      </c>
      <c r="I7" s="401"/>
      <c r="J7" s="401"/>
      <c r="K7" s="401"/>
      <c r="L7" s="449" t="s">
        <v>185</v>
      </c>
      <c r="M7" s="410"/>
      <c r="N7" s="407"/>
      <c r="O7" s="373" t="s">
        <v>581</v>
      </c>
      <c r="P7" s="410"/>
      <c r="Q7" s="390"/>
      <c r="R7" s="111"/>
      <c r="S7" s="16"/>
      <c r="T7" s="130"/>
    </row>
    <row r="8" spans="2:20" ht="13.5" thickBot="1">
      <c r="B8" s="351" t="s">
        <v>162</v>
      </c>
      <c r="C8" s="381" t="s">
        <v>0</v>
      </c>
      <c r="D8" s="390"/>
      <c r="E8" s="381" t="s">
        <v>162</v>
      </c>
      <c r="F8" s="371" t="s">
        <v>0</v>
      </c>
      <c r="G8" s="390"/>
      <c r="I8" s="729" t="s">
        <v>179</v>
      </c>
      <c r="J8" s="730"/>
      <c r="K8" s="404"/>
      <c r="L8" s="410"/>
      <c r="M8" s="450"/>
      <c r="N8" s="403"/>
      <c r="O8" s="451"/>
      <c r="P8" s="449" t="s">
        <v>179</v>
      </c>
      <c r="Q8" s="390"/>
      <c r="R8" s="390"/>
      <c r="S8" s="16"/>
      <c r="T8" s="130"/>
    </row>
    <row r="9" spans="2:20" ht="13.5" thickBot="1">
      <c r="B9" s="349">
        <v>10</v>
      </c>
      <c r="C9" s="439">
        <f>$C$22</f>
        <v>0.5555555555555556</v>
      </c>
      <c r="D9" s="390"/>
      <c r="E9" s="349">
        <v>10</v>
      </c>
      <c r="F9" s="439">
        <f>$F$22</f>
        <v>0.6851851851851851</v>
      </c>
      <c r="G9" s="390"/>
      <c r="H9" s="452" t="s">
        <v>61</v>
      </c>
      <c r="I9" s="427" t="s">
        <v>0</v>
      </c>
      <c r="J9" s="427" t="s">
        <v>0</v>
      </c>
      <c r="L9" s="381" t="s">
        <v>61</v>
      </c>
      <c r="M9" s="348" t="s">
        <v>0</v>
      </c>
      <c r="N9" s="412"/>
      <c r="O9" s="452" t="s">
        <v>61</v>
      </c>
      <c r="P9" s="478" t="s">
        <v>0</v>
      </c>
      <c r="Q9" s="401"/>
      <c r="R9" s="113"/>
      <c r="S9" s="59"/>
      <c r="T9" s="130"/>
    </row>
    <row r="10" spans="2:20" ht="13.5" thickBot="1">
      <c r="B10" s="349">
        <v>9</v>
      </c>
      <c r="C10" s="439">
        <f aca="true" t="shared" si="0" ref="C10:C18">$C$22</f>
        <v>0.5555555555555556</v>
      </c>
      <c r="D10" s="390"/>
      <c r="E10" s="349">
        <v>9</v>
      </c>
      <c r="F10" s="439">
        <f aca="true" t="shared" si="1" ref="F10:F18">$F$22</f>
        <v>0.6851851851851851</v>
      </c>
      <c r="G10" s="390"/>
      <c r="H10" s="440">
        <v>10</v>
      </c>
      <c r="I10" s="441">
        <v>1.94</v>
      </c>
      <c r="J10" s="440">
        <v>1.94</v>
      </c>
      <c r="L10" s="442">
        <v>10</v>
      </c>
      <c r="M10" s="443">
        <v>3.12</v>
      </c>
      <c r="N10" s="453"/>
      <c r="O10" s="452">
        <v>10</v>
      </c>
      <c r="P10" s="443">
        <v>1.94</v>
      </c>
      <c r="Q10" s="415"/>
      <c r="R10" s="113"/>
      <c r="S10" s="31"/>
      <c r="T10" s="130"/>
    </row>
    <row r="11" spans="2:20" ht="13.5" thickBot="1">
      <c r="B11" s="349">
        <v>8</v>
      </c>
      <c r="C11" s="439">
        <f t="shared" si="0"/>
        <v>0.5555555555555556</v>
      </c>
      <c r="D11" s="390"/>
      <c r="E11" s="349">
        <v>8</v>
      </c>
      <c r="F11" s="439">
        <f t="shared" si="1"/>
        <v>0.6851851851851851</v>
      </c>
      <c r="G11" s="390"/>
      <c r="H11" s="384">
        <v>9</v>
      </c>
      <c r="I11" s="443">
        <v>1.39</v>
      </c>
      <c r="J11" s="384">
        <v>1.39</v>
      </c>
      <c r="L11" s="442">
        <v>9</v>
      </c>
      <c r="M11" s="443">
        <v>2.89</v>
      </c>
      <c r="N11" s="454"/>
      <c r="O11" s="425">
        <v>9</v>
      </c>
      <c r="P11" s="443">
        <v>1.39</v>
      </c>
      <c r="Q11" s="415"/>
      <c r="R11" s="113"/>
      <c r="S11" s="31"/>
      <c r="T11" s="130"/>
    </row>
    <row r="12" spans="2:20" ht="13.5" thickBot="1">
      <c r="B12" s="349">
        <v>7</v>
      </c>
      <c r="C12" s="439">
        <f t="shared" si="0"/>
        <v>0.5555555555555556</v>
      </c>
      <c r="D12" s="390"/>
      <c r="E12" s="349">
        <v>7</v>
      </c>
      <c r="F12" s="439">
        <f t="shared" si="1"/>
        <v>0.6851851851851851</v>
      </c>
      <c r="G12" s="405"/>
      <c r="H12" s="384">
        <v>8</v>
      </c>
      <c r="I12" s="443">
        <v>0.83</v>
      </c>
      <c r="J12" s="384">
        <v>0.83</v>
      </c>
      <c r="L12" s="442">
        <v>8</v>
      </c>
      <c r="M12" s="443">
        <v>2.56</v>
      </c>
      <c r="N12" s="454"/>
      <c r="O12" s="425">
        <v>8</v>
      </c>
      <c r="P12" s="443">
        <v>0.93</v>
      </c>
      <c r="Q12" s="415"/>
      <c r="R12" s="113"/>
      <c r="S12" s="31"/>
      <c r="T12" s="130"/>
    </row>
    <row r="13" spans="2:20" ht="13.5" thickBot="1">
      <c r="B13" s="349">
        <v>6</v>
      </c>
      <c r="C13" s="439">
        <f t="shared" si="0"/>
        <v>0.5555555555555556</v>
      </c>
      <c r="D13" s="390"/>
      <c r="E13" s="349">
        <v>6</v>
      </c>
      <c r="F13" s="439">
        <f t="shared" si="1"/>
        <v>0.6851851851851851</v>
      </c>
      <c r="G13" s="415"/>
      <c r="H13" s="384">
        <v>7</v>
      </c>
      <c r="I13" s="443">
        <v>0.37</v>
      </c>
      <c r="J13" s="384">
        <v>0.37</v>
      </c>
      <c r="L13" s="442">
        <v>7</v>
      </c>
      <c r="M13" s="443">
        <v>2.15</v>
      </c>
      <c r="N13" s="454"/>
      <c r="O13" s="425">
        <v>7</v>
      </c>
      <c r="P13" s="443">
        <v>0.62</v>
      </c>
      <c r="Q13" s="415"/>
      <c r="R13" s="113"/>
      <c r="S13" s="31"/>
      <c r="T13" s="130"/>
    </row>
    <row r="14" spans="2:20" ht="13.5" thickBot="1">
      <c r="B14" s="349">
        <v>5</v>
      </c>
      <c r="C14" s="439">
        <f t="shared" si="0"/>
        <v>0.5555555555555556</v>
      </c>
      <c r="D14" s="390"/>
      <c r="E14" s="349">
        <v>5</v>
      </c>
      <c r="F14" s="439">
        <f t="shared" si="1"/>
        <v>0.6851851851851851</v>
      </c>
      <c r="G14" s="415"/>
      <c r="H14" s="384">
        <v>6</v>
      </c>
      <c r="I14" s="443">
        <v>0.09</v>
      </c>
      <c r="J14" s="384">
        <v>0.09</v>
      </c>
      <c r="L14" s="442">
        <v>6</v>
      </c>
      <c r="M14" s="443">
        <v>1.67</v>
      </c>
      <c r="N14" s="454"/>
      <c r="O14" s="425">
        <v>6</v>
      </c>
      <c r="P14" s="443">
        <v>0.43</v>
      </c>
      <c r="Q14" s="415"/>
      <c r="R14" s="113"/>
      <c r="S14" s="31"/>
      <c r="T14" s="130"/>
    </row>
    <row r="15" spans="2:20" ht="13.5" thickBot="1">
      <c r="B15" s="349">
        <v>4</v>
      </c>
      <c r="C15" s="439">
        <f t="shared" si="0"/>
        <v>0.5555555555555556</v>
      </c>
      <c r="D15" s="390"/>
      <c r="E15" s="349">
        <v>4</v>
      </c>
      <c r="F15" s="439">
        <f t="shared" si="1"/>
        <v>0.6851851851851851</v>
      </c>
      <c r="G15" s="415"/>
      <c r="H15" s="408">
        <v>5</v>
      </c>
      <c r="I15" s="443">
        <v>0</v>
      </c>
      <c r="J15" s="384">
        <v>0</v>
      </c>
      <c r="L15" s="442">
        <v>5</v>
      </c>
      <c r="M15" s="443">
        <v>1.19</v>
      </c>
      <c r="N15" s="454"/>
      <c r="O15" s="425">
        <v>5</v>
      </c>
      <c r="P15" s="443">
        <v>0.28</v>
      </c>
      <c r="Q15" s="415"/>
      <c r="R15" s="113"/>
      <c r="S15" s="31"/>
      <c r="T15" s="130"/>
    </row>
    <row r="16" spans="2:20" ht="13.5" thickBot="1">
      <c r="B16" s="349">
        <v>3</v>
      </c>
      <c r="C16" s="439">
        <f t="shared" si="0"/>
        <v>0.5555555555555556</v>
      </c>
      <c r="D16" s="390"/>
      <c r="E16" s="349">
        <v>3</v>
      </c>
      <c r="F16" s="439">
        <f t="shared" si="1"/>
        <v>0.6851851851851851</v>
      </c>
      <c r="G16" s="415"/>
      <c r="H16" s="408">
        <v>4</v>
      </c>
      <c r="I16" s="443">
        <v>0</v>
      </c>
      <c r="J16" s="384">
        <v>0</v>
      </c>
      <c r="L16" s="442">
        <v>4</v>
      </c>
      <c r="M16" s="443">
        <v>0.77</v>
      </c>
      <c r="N16" s="454"/>
      <c r="O16" s="425">
        <v>4</v>
      </c>
      <c r="P16" s="443">
        <v>0.12</v>
      </c>
      <c r="Q16" s="415"/>
      <c r="R16" s="113"/>
      <c r="S16" s="31"/>
      <c r="T16" s="130"/>
    </row>
    <row r="17" spans="2:20" ht="13.5" thickBot="1">
      <c r="B17" s="349">
        <v>2</v>
      </c>
      <c r="C17" s="439">
        <f t="shared" si="0"/>
        <v>0.5555555555555556</v>
      </c>
      <c r="D17" s="390"/>
      <c r="E17" s="349">
        <v>2</v>
      </c>
      <c r="F17" s="439">
        <f t="shared" si="1"/>
        <v>0.6851851851851851</v>
      </c>
      <c r="G17" s="415"/>
      <c r="H17" s="438">
        <v>3</v>
      </c>
      <c r="I17" s="455">
        <v>0</v>
      </c>
      <c r="J17" s="456">
        <v>0</v>
      </c>
      <c r="L17" s="442">
        <v>3</v>
      </c>
      <c r="M17" s="443">
        <v>0.45</v>
      </c>
      <c r="N17" s="454"/>
      <c r="O17" s="425">
        <v>3</v>
      </c>
      <c r="P17" s="445">
        <v>0.03</v>
      </c>
      <c r="Q17" s="415"/>
      <c r="R17" s="390"/>
      <c r="S17" s="130"/>
      <c r="T17" s="130"/>
    </row>
    <row r="18" spans="2:20" ht="13.5" thickBot="1">
      <c r="B18" s="349">
        <v>1</v>
      </c>
      <c r="C18" s="439">
        <f t="shared" si="0"/>
        <v>0.5555555555555556</v>
      </c>
      <c r="D18" s="390"/>
      <c r="E18" s="349">
        <v>1</v>
      </c>
      <c r="F18" s="439">
        <f t="shared" si="1"/>
        <v>0.6851851851851851</v>
      </c>
      <c r="G18" s="415"/>
      <c r="H18" s="113"/>
      <c r="I18" s="401"/>
      <c r="J18" s="407"/>
      <c r="L18" s="442">
        <v>2</v>
      </c>
      <c r="M18" s="443">
        <v>0.22</v>
      </c>
      <c r="N18" s="415"/>
      <c r="P18" s="401"/>
      <c r="Q18" s="415"/>
      <c r="S18" s="130"/>
      <c r="T18" s="130"/>
    </row>
    <row r="19" spans="4:20" ht="12.75">
      <c r="D19" s="390"/>
      <c r="G19" s="415"/>
      <c r="H19" s="448"/>
      <c r="I19" s="447"/>
      <c r="J19" s="390"/>
      <c r="K19" s="390"/>
      <c r="L19" s="442">
        <v>1</v>
      </c>
      <c r="M19" s="443">
        <v>0.08</v>
      </c>
      <c r="N19" s="415"/>
      <c r="P19" s="401"/>
      <c r="Q19" s="415"/>
      <c r="S19" s="130"/>
      <c r="T19" s="130"/>
    </row>
    <row r="20" spans="2:20" ht="13.5" thickBot="1">
      <c r="B20" s="111" t="s">
        <v>163</v>
      </c>
      <c r="C20" s="111"/>
      <c r="D20" s="390"/>
      <c r="E20" s="448" t="s">
        <v>164</v>
      </c>
      <c r="F20" s="113"/>
      <c r="G20" s="415"/>
      <c r="H20" s="390"/>
      <c r="I20" s="390"/>
      <c r="J20" s="457"/>
      <c r="K20" s="403"/>
      <c r="L20" s="444">
        <v>0</v>
      </c>
      <c r="M20" s="445">
        <v>0.02</v>
      </c>
      <c r="S20" s="130"/>
      <c r="T20" s="130"/>
    </row>
    <row r="21" spans="2:20" ht="13.5" thickBot="1">
      <c r="B21" s="351" t="s">
        <v>162</v>
      </c>
      <c r="C21" s="381" t="s">
        <v>0</v>
      </c>
      <c r="D21" s="390"/>
      <c r="E21" s="381" t="s">
        <v>162</v>
      </c>
      <c r="F21" s="371" t="s">
        <v>0</v>
      </c>
      <c r="G21" s="415"/>
      <c r="H21" s="401"/>
      <c r="I21" s="401"/>
      <c r="J21" s="401"/>
      <c r="K21" s="401"/>
      <c r="L21" s="401"/>
      <c r="M21" s="390"/>
      <c r="S21" s="130"/>
      <c r="T21" s="130"/>
    </row>
    <row r="22" spans="2:20" ht="13.5" thickBot="1">
      <c r="B22" s="349" t="s">
        <v>154</v>
      </c>
      <c r="C22" s="439">
        <v>0.5555555555555556</v>
      </c>
      <c r="D22" s="390"/>
      <c r="E22" s="349">
        <v>10</v>
      </c>
      <c r="F22" s="439">
        <v>0.6851851851851851</v>
      </c>
      <c r="G22" s="415"/>
      <c r="H22" s="403"/>
      <c r="I22" s="404"/>
      <c r="J22" s="458"/>
      <c r="K22" s="458"/>
      <c r="L22" s="129"/>
      <c r="S22" s="130"/>
      <c r="T22" s="130"/>
    </row>
    <row r="23" spans="4:20" ht="13.5" thickBot="1">
      <c r="D23" s="390"/>
      <c r="G23" s="415"/>
      <c r="H23" s="403"/>
      <c r="I23" s="404"/>
      <c r="J23" s="458"/>
      <c r="K23" s="458"/>
      <c r="S23" s="130"/>
      <c r="T23" s="130"/>
    </row>
    <row r="24" spans="4:20" ht="13.5" thickBot="1">
      <c r="D24" s="390"/>
      <c r="G24" s="401"/>
      <c r="H24" s="403"/>
      <c r="I24" s="404"/>
      <c r="J24" s="458"/>
      <c r="K24" s="458"/>
      <c r="L24" s="347"/>
      <c r="M24" s="348"/>
      <c r="S24" s="130"/>
      <c r="T24" s="130"/>
    </row>
    <row r="25" spans="4:21" ht="13.5" thickBot="1">
      <c r="D25" s="390"/>
      <c r="G25" s="415"/>
      <c r="H25" s="733"/>
      <c r="I25" s="734"/>
      <c r="J25" s="459"/>
      <c r="L25" s="349"/>
      <c r="M25" s="350"/>
      <c r="S25" s="130"/>
      <c r="T25" s="130"/>
      <c r="U25" s="1"/>
    </row>
    <row r="26" spans="4:20" ht="12.75">
      <c r="D26" s="390"/>
      <c r="G26" s="415"/>
      <c r="S26" s="130"/>
      <c r="T26" s="130"/>
    </row>
    <row r="27" spans="19:20" ht="13.5" thickBot="1">
      <c r="S27" s="130"/>
      <c r="T27" s="130"/>
    </row>
    <row r="28" spans="1:20" ht="16.5" thickBot="1">
      <c r="A28" s="391"/>
      <c r="B28" s="416" t="s">
        <v>11</v>
      </c>
      <c r="C28" s="417" t="s">
        <v>17</v>
      </c>
      <c r="D28" s="418"/>
      <c r="E28" s="418"/>
      <c r="F28" s="418"/>
      <c r="G28" s="418"/>
      <c r="H28" s="419"/>
      <c r="J28" s="738" t="s">
        <v>167</v>
      </c>
      <c r="K28" s="732"/>
      <c r="L28" s="735" t="s">
        <v>117</v>
      </c>
      <c r="M28" s="736"/>
      <c r="N28" s="737"/>
      <c r="O28" s="381" t="s">
        <v>171</v>
      </c>
      <c r="P28" s="731" t="s">
        <v>174</v>
      </c>
      <c r="Q28" s="732"/>
      <c r="S28" s="130"/>
      <c r="T28" s="130"/>
    </row>
    <row r="29" spans="1:20" ht="13.5" thickBot="1">
      <c r="A29" s="389"/>
      <c r="B29" s="398"/>
      <c r="C29" s="398"/>
      <c r="D29" s="398"/>
      <c r="E29" s="398"/>
      <c r="F29" s="398"/>
      <c r="G29" s="398"/>
      <c r="H29" s="398"/>
      <c r="I29" s="420" t="s">
        <v>166</v>
      </c>
      <c r="J29" s="351" t="s">
        <v>168</v>
      </c>
      <c r="K29" s="460" t="s">
        <v>121</v>
      </c>
      <c r="L29" s="463" t="s">
        <v>118</v>
      </c>
      <c r="M29" s="429" t="s">
        <v>170</v>
      </c>
      <c r="N29" s="457" t="s">
        <v>116</v>
      </c>
      <c r="O29" s="429" t="s">
        <v>175</v>
      </c>
      <c r="P29" s="480" t="s">
        <v>176</v>
      </c>
      <c r="Q29" s="481" t="s">
        <v>175</v>
      </c>
      <c r="S29" s="130"/>
      <c r="T29" s="130"/>
    </row>
    <row r="30" spans="1:20" ht="13.5" thickBot="1">
      <c r="A30" s="392"/>
      <c r="B30" s="421" t="s">
        <v>12</v>
      </c>
      <c r="C30" s="422"/>
      <c r="D30" s="422"/>
      <c r="E30" s="422"/>
      <c r="F30" s="422"/>
      <c r="G30" s="422"/>
      <c r="H30" s="423"/>
      <c r="I30" s="350">
        <f>SUM(I31:I76)</f>
        <v>0</v>
      </c>
      <c r="J30" s="350"/>
      <c r="K30" s="350">
        <f>SUM(K31:K76)</f>
        <v>0</v>
      </c>
      <c r="L30" s="459"/>
      <c r="M30" s="459"/>
      <c r="N30" s="466">
        <f>SUM(N31:N76)</f>
        <v>0</v>
      </c>
      <c r="O30" s="466">
        <f>SUM(O31:O76)</f>
        <v>0</v>
      </c>
      <c r="P30" s="466"/>
      <c r="Q30" s="466">
        <f>SUM(Q31:Q76)</f>
        <v>0</v>
      </c>
      <c r="S30" s="130"/>
      <c r="T30" s="130"/>
    </row>
    <row r="31" spans="1:20" ht="15.75">
      <c r="A31" s="393">
        <v>1</v>
      </c>
      <c r="B31" s="426" t="s">
        <v>248</v>
      </c>
      <c r="C31" s="390"/>
      <c r="D31" s="390"/>
      <c r="I31" s="425"/>
      <c r="J31" s="425"/>
      <c r="K31" s="425"/>
      <c r="L31" s="467"/>
      <c r="M31" s="467"/>
      <c r="N31" s="468"/>
      <c r="O31" s="469"/>
      <c r="P31" s="482"/>
      <c r="Q31" s="483"/>
      <c r="S31" s="130"/>
      <c r="T31" s="130"/>
    </row>
    <row r="32" spans="1:20" ht="15.75">
      <c r="A32" s="393"/>
      <c r="B32" s="426"/>
      <c r="C32" s="390" t="s">
        <v>495</v>
      </c>
      <c r="D32" s="390"/>
      <c r="I32" s="425">
        <f>'CUARTEL GENERAL'!E5+'CUARTEL GENERAL'!E6</f>
        <v>0</v>
      </c>
      <c r="J32" s="425">
        <f>4+'CUARTEL GENERAL'!E6</f>
        <v>4</v>
      </c>
      <c r="K32" s="425">
        <f>(J32*(I32))</f>
        <v>0</v>
      </c>
      <c r="L32" s="467">
        <f>I14</f>
        <v>0.09</v>
      </c>
      <c r="M32" s="467">
        <f>C14</f>
        <v>0.5555555555555556</v>
      </c>
      <c r="N32" s="468">
        <f>K32*L32*M32</f>
        <v>0</v>
      </c>
      <c r="O32" s="470">
        <f>N32</f>
        <v>0</v>
      </c>
      <c r="P32" s="482">
        <v>5</v>
      </c>
      <c r="Q32" s="484">
        <f>P32*K32</f>
        <v>0</v>
      </c>
      <c r="S32" s="130"/>
      <c r="T32" s="130"/>
    </row>
    <row r="33" spans="1:20" ht="15.75">
      <c r="A33" s="393"/>
      <c r="B33" s="426"/>
      <c r="C33" s="390" t="s">
        <v>493</v>
      </c>
      <c r="D33" s="390"/>
      <c r="I33" s="425"/>
      <c r="J33" s="425">
        <v>1</v>
      </c>
      <c r="K33" s="425">
        <f>J33*(I32)</f>
        <v>0</v>
      </c>
      <c r="L33" s="467">
        <f>L32</f>
        <v>0.09</v>
      </c>
      <c r="M33" s="467">
        <f>F14</f>
        <v>0.6851851851851851</v>
      </c>
      <c r="N33" s="468">
        <f>K33*L33*M33</f>
        <v>0</v>
      </c>
      <c r="O33" s="470">
        <f>N33</f>
        <v>0</v>
      </c>
      <c r="P33" s="482">
        <v>5</v>
      </c>
      <c r="Q33" s="484">
        <f>P33*K33</f>
        <v>0</v>
      </c>
      <c r="S33" s="130"/>
      <c r="T33" s="130"/>
    </row>
    <row r="34" spans="1:20" ht="15.75">
      <c r="A34" s="393">
        <v>2</v>
      </c>
      <c r="B34" s="426" t="s">
        <v>249</v>
      </c>
      <c r="C34" s="390"/>
      <c r="D34" s="390"/>
      <c r="I34" s="425"/>
      <c r="J34" s="425"/>
      <c r="K34" s="425"/>
      <c r="L34" s="467"/>
      <c r="M34" s="467"/>
      <c r="N34" s="468"/>
      <c r="O34" s="470"/>
      <c r="P34" s="482"/>
      <c r="Q34" s="484"/>
      <c r="S34" s="130"/>
      <c r="T34" s="130"/>
    </row>
    <row r="35" spans="1:20" ht="15.75">
      <c r="A35" s="393"/>
      <c r="B35" s="426"/>
      <c r="C35" s="390" t="s">
        <v>494</v>
      </c>
      <c r="D35" s="390"/>
      <c r="I35" s="425">
        <f>'CUARTEL GENERAL'!E22+'CUARTEL GENERAL'!E23+'CUARTEL GENERAL'!K75</f>
        <v>0</v>
      </c>
      <c r="J35" s="425">
        <v>1</v>
      </c>
      <c r="K35" s="425">
        <f>J35*(I35)</f>
        <v>0</v>
      </c>
      <c r="L35" s="467">
        <f>I14</f>
        <v>0.09</v>
      </c>
      <c r="M35" s="467">
        <f>C22</f>
        <v>0.5555555555555556</v>
      </c>
      <c r="N35" s="468">
        <f>K35*L35*M35</f>
        <v>0</v>
      </c>
      <c r="O35" s="470">
        <f>N35</f>
        <v>0</v>
      </c>
      <c r="P35" s="482">
        <v>5</v>
      </c>
      <c r="Q35" s="484">
        <f>P35*K35</f>
        <v>0</v>
      </c>
      <c r="S35" s="130"/>
      <c r="T35" s="130"/>
    </row>
    <row r="36" spans="1:20" ht="15.75">
      <c r="A36" s="393"/>
      <c r="B36" s="426"/>
      <c r="C36" s="390"/>
      <c r="D36" s="390"/>
      <c r="I36" s="425"/>
      <c r="J36" s="425"/>
      <c r="K36" s="425"/>
      <c r="L36" s="467"/>
      <c r="M36" s="467"/>
      <c r="N36" s="468"/>
      <c r="O36" s="470"/>
      <c r="P36" s="482"/>
      <c r="Q36" s="484"/>
      <c r="S36" s="130"/>
      <c r="T36" s="130"/>
    </row>
    <row r="37" spans="1:20" ht="15.75">
      <c r="A37" s="393">
        <v>3</v>
      </c>
      <c r="B37" s="426" t="s">
        <v>250</v>
      </c>
      <c r="C37" s="390"/>
      <c r="D37" s="390"/>
      <c r="I37" s="425"/>
      <c r="J37" s="425"/>
      <c r="K37" s="425"/>
      <c r="L37" s="467"/>
      <c r="M37" s="467"/>
      <c r="N37" s="468"/>
      <c r="O37" s="470"/>
      <c r="P37" s="482"/>
      <c r="Q37" s="484"/>
      <c r="S37" s="130"/>
      <c r="T37" s="130"/>
    </row>
    <row r="38" spans="1:20" ht="15.75">
      <c r="A38" s="393"/>
      <c r="B38" s="426"/>
      <c r="C38" s="390" t="s">
        <v>500</v>
      </c>
      <c r="D38" s="390"/>
      <c r="I38" s="425">
        <f>'CUARTEL GENERAL'!E12</f>
        <v>0</v>
      </c>
      <c r="J38" s="425">
        <f>2+'CUARTEL GENERAL'!E13</f>
        <v>2</v>
      </c>
      <c r="K38" s="425">
        <f>J38*(I38)</f>
        <v>0</v>
      </c>
      <c r="L38" s="467">
        <f>I16</f>
        <v>0</v>
      </c>
      <c r="M38" s="467">
        <f>C14</f>
        <v>0.5555555555555556</v>
      </c>
      <c r="N38" s="468">
        <f>K38*L38*M38</f>
        <v>0</v>
      </c>
      <c r="O38" s="470">
        <f>N38</f>
        <v>0</v>
      </c>
      <c r="P38" s="482">
        <v>5</v>
      </c>
      <c r="Q38" s="484">
        <f>P38*K38</f>
        <v>0</v>
      </c>
      <c r="S38" s="130"/>
      <c r="T38" s="130"/>
    </row>
    <row r="39" spans="1:20" ht="15.75">
      <c r="A39" s="393"/>
      <c r="B39" s="426"/>
      <c r="C39" s="390" t="s">
        <v>501</v>
      </c>
      <c r="D39" s="390"/>
      <c r="I39" s="425"/>
      <c r="J39" s="425">
        <v>1</v>
      </c>
      <c r="K39" s="425">
        <f>J39*(I38)</f>
        <v>0</v>
      </c>
      <c r="L39" s="467">
        <f>L38</f>
        <v>0</v>
      </c>
      <c r="M39" s="467">
        <f>F14</f>
        <v>0.6851851851851851</v>
      </c>
      <c r="N39" s="468">
        <f>K39*L39*M39</f>
        <v>0</v>
      </c>
      <c r="O39" s="470"/>
      <c r="P39" s="482"/>
      <c r="Q39" s="484"/>
      <c r="S39" s="130"/>
      <c r="T39" s="130"/>
    </row>
    <row r="40" spans="1:20" ht="15.75">
      <c r="A40" s="393"/>
      <c r="B40" s="426"/>
      <c r="C40" s="390" t="s">
        <v>490</v>
      </c>
      <c r="D40" s="390"/>
      <c r="I40" s="425">
        <f>'CUARTEL GENERAL'!E11</f>
        <v>0</v>
      </c>
      <c r="J40" s="425">
        <f>4+'CUARTEL GENERAL'!E13</f>
        <v>4</v>
      </c>
      <c r="K40" s="425">
        <f>J40*(I40)</f>
        <v>0</v>
      </c>
      <c r="L40" s="467">
        <f>J16</f>
        <v>0</v>
      </c>
      <c r="M40" s="467">
        <f>C14</f>
        <v>0.5555555555555556</v>
      </c>
      <c r="N40" s="468">
        <f>K40*L40*M40</f>
        <v>0</v>
      </c>
      <c r="O40" s="470">
        <f>N40</f>
        <v>0</v>
      </c>
      <c r="P40" s="482">
        <v>5</v>
      </c>
      <c r="Q40" s="484">
        <f>P40*K40</f>
        <v>0</v>
      </c>
      <c r="S40" s="130"/>
      <c r="T40" s="130"/>
    </row>
    <row r="41" spans="1:20" ht="15.75">
      <c r="A41" s="393"/>
      <c r="B41" s="426"/>
      <c r="C41" s="390" t="s">
        <v>169</v>
      </c>
      <c r="D41" s="390"/>
      <c r="I41" s="425">
        <f>'CUARTEL GENERAL'!E10</f>
        <v>0</v>
      </c>
      <c r="J41" s="425">
        <f>3+'CUARTEL GENERAL'!E13</f>
        <v>3</v>
      </c>
      <c r="K41" s="425">
        <f>J41*(I41)</f>
        <v>0</v>
      </c>
      <c r="L41" s="467">
        <f>I12</f>
        <v>0.83</v>
      </c>
      <c r="M41" s="467">
        <f>C14</f>
        <v>0.5555555555555556</v>
      </c>
      <c r="N41" s="468">
        <f>K41*L41*M41</f>
        <v>0</v>
      </c>
      <c r="O41" s="470">
        <f>N41</f>
        <v>0</v>
      </c>
      <c r="P41" s="482">
        <v>1</v>
      </c>
      <c r="Q41" s="484">
        <f>P41*K41</f>
        <v>0</v>
      </c>
      <c r="S41" s="130"/>
      <c r="T41" s="130"/>
    </row>
    <row r="42" spans="1:20" ht="15.75">
      <c r="A42" s="393">
        <v>4</v>
      </c>
      <c r="B42" s="426" t="s">
        <v>253</v>
      </c>
      <c r="C42" s="390"/>
      <c r="D42" s="390"/>
      <c r="I42" s="425"/>
      <c r="J42" s="425"/>
      <c r="K42" s="425"/>
      <c r="L42" s="467"/>
      <c r="M42" s="467"/>
      <c r="N42" s="468"/>
      <c r="O42" s="470"/>
      <c r="P42" s="482"/>
      <c r="Q42" s="484"/>
      <c r="S42" s="130"/>
      <c r="T42" s="130"/>
    </row>
    <row r="43" spans="1:20" ht="15.75">
      <c r="A43" s="393"/>
      <c r="B43" s="426"/>
      <c r="C43" s="390" t="s">
        <v>500</v>
      </c>
      <c r="D43" s="390"/>
      <c r="I43" s="425">
        <f>'CUARTEL GENERAL'!E17</f>
        <v>0</v>
      </c>
      <c r="J43" s="425">
        <v>1</v>
      </c>
      <c r="K43" s="425">
        <f>J43*(I43)</f>
        <v>0</v>
      </c>
      <c r="L43" s="467">
        <f>I14</f>
        <v>0.09</v>
      </c>
      <c r="M43" s="467">
        <f>C22</f>
        <v>0.5555555555555556</v>
      </c>
      <c r="N43" s="468">
        <f>K43*L43*M43</f>
        <v>0</v>
      </c>
      <c r="O43" s="470">
        <f>N43</f>
        <v>0</v>
      </c>
      <c r="P43" s="482">
        <v>5</v>
      </c>
      <c r="Q43" s="484">
        <f>P43*K43</f>
        <v>0</v>
      </c>
      <c r="S43" s="130"/>
      <c r="T43" s="130"/>
    </row>
    <row r="44" spans="1:20" ht="15.75">
      <c r="A44" s="393"/>
      <c r="B44" s="426"/>
      <c r="C44" s="390" t="s">
        <v>501</v>
      </c>
      <c r="D44" s="390"/>
      <c r="I44" s="425"/>
      <c r="J44" s="425"/>
      <c r="K44" s="425"/>
      <c r="L44" s="467"/>
      <c r="M44" s="467"/>
      <c r="N44" s="468"/>
      <c r="O44" s="470"/>
      <c r="P44" s="482">
        <v>5</v>
      </c>
      <c r="Q44" s="484">
        <f>P44*K44</f>
        <v>0</v>
      </c>
      <c r="S44" s="130"/>
      <c r="T44" s="130"/>
    </row>
    <row r="45" spans="1:20" ht="15.75">
      <c r="A45" s="393">
        <v>5</v>
      </c>
      <c r="B45" s="426" t="s">
        <v>257</v>
      </c>
      <c r="C45" s="390"/>
      <c r="D45" s="390"/>
      <c r="I45" s="425"/>
      <c r="J45" s="425"/>
      <c r="K45" s="425"/>
      <c r="L45" s="467"/>
      <c r="M45" s="467"/>
      <c r="N45" s="468"/>
      <c r="O45" s="469"/>
      <c r="P45" s="482"/>
      <c r="Q45" s="484"/>
      <c r="S45" s="130"/>
      <c r="T45" s="130"/>
    </row>
    <row r="46" spans="1:20" ht="15.75">
      <c r="A46" s="393"/>
      <c r="B46" s="426"/>
      <c r="C46" s="390" t="s">
        <v>265</v>
      </c>
      <c r="D46" s="390"/>
      <c r="I46" s="425">
        <f>'CUARTEL GENERAL'!K27</f>
        <v>0</v>
      </c>
      <c r="J46" s="425">
        <v>1</v>
      </c>
      <c r="K46" s="425">
        <f aca="true" t="shared" si="2" ref="K46:K57">J46*(I46)</f>
        <v>0</v>
      </c>
      <c r="L46" s="467">
        <f>I14</f>
        <v>0.09</v>
      </c>
      <c r="M46" s="467">
        <f>$C$22</f>
        <v>0.5555555555555556</v>
      </c>
      <c r="N46" s="468">
        <f aca="true" t="shared" si="3" ref="N46:N57">K46*L46*M46</f>
        <v>0</v>
      </c>
      <c r="O46" s="470"/>
      <c r="P46" s="482">
        <v>5</v>
      </c>
      <c r="Q46" s="484">
        <f aca="true" t="shared" si="4" ref="Q46:Q57">P46*K46</f>
        <v>0</v>
      </c>
      <c r="S46" s="130"/>
      <c r="T46" s="130"/>
    </row>
    <row r="47" spans="1:20" ht="15.75">
      <c r="A47" s="393"/>
      <c r="B47" s="426"/>
      <c r="C47" s="390" t="s">
        <v>492</v>
      </c>
      <c r="D47" s="390"/>
      <c r="I47" s="425">
        <f>'CUARTEL GENERAL'!K29+'CUARTEL GENERAL'!K73+'CUARTEL GENERAL'!K74+'CUARTEL GENERAL'!L75</f>
        <v>0</v>
      </c>
      <c r="J47" s="425">
        <v>1</v>
      </c>
      <c r="K47" s="425">
        <f t="shared" si="2"/>
        <v>0</v>
      </c>
      <c r="L47" s="467">
        <f>L46</f>
        <v>0.09</v>
      </c>
      <c r="M47" s="467">
        <f>$C$22</f>
        <v>0.5555555555555556</v>
      </c>
      <c r="N47" s="468">
        <f t="shared" si="3"/>
        <v>0</v>
      </c>
      <c r="O47" s="470">
        <f aca="true" t="shared" si="5" ref="O47:O57">N47</f>
        <v>0</v>
      </c>
      <c r="P47" s="482">
        <v>5</v>
      </c>
      <c r="Q47" s="484">
        <f t="shared" si="4"/>
        <v>0</v>
      </c>
      <c r="S47" s="130"/>
      <c r="T47" s="130"/>
    </row>
    <row r="48" spans="1:20" ht="15.75">
      <c r="A48" s="393"/>
      <c r="B48" s="426"/>
      <c r="C48" s="390" t="s">
        <v>504</v>
      </c>
      <c r="D48" s="390"/>
      <c r="I48" s="425">
        <f>'CUARTEL GENERAL'!K31</f>
        <v>0</v>
      </c>
      <c r="J48" s="425">
        <v>3</v>
      </c>
      <c r="K48" s="425">
        <f t="shared" si="2"/>
        <v>0</v>
      </c>
      <c r="L48" s="467">
        <f>L41</f>
        <v>0.83</v>
      </c>
      <c r="M48" s="467">
        <f>C14</f>
        <v>0.5555555555555556</v>
      </c>
      <c r="N48" s="468">
        <f t="shared" si="3"/>
        <v>0</v>
      </c>
      <c r="O48" s="470">
        <f t="shared" si="5"/>
        <v>0</v>
      </c>
      <c r="P48" s="482">
        <v>1</v>
      </c>
      <c r="Q48" s="484">
        <f t="shared" si="4"/>
        <v>0</v>
      </c>
      <c r="S48" s="130"/>
      <c r="T48" s="130"/>
    </row>
    <row r="49" spans="1:20" ht="15.75">
      <c r="A49" s="393"/>
      <c r="B49" s="426"/>
      <c r="C49" s="390" t="s">
        <v>491</v>
      </c>
      <c r="D49" s="390"/>
      <c r="I49" s="425">
        <f>'CUARTEL GENERAL'!K33</f>
        <v>0</v>
      </c>
      <c r="J49" s="425">
        <v>1</v>
      </c>
      <c r="K49" s="425">
        <f t="shared" si="2"/>
        <v>0</v>
      </c>
      <c r="L49" s="467">
        <f>I14</f>
        <v>0.09</v>
      </c>
      <c r="M49" s="467">
        <f>$C$22</f>
        <v>0.5555555555555556</v>
      </c>
      <c r="N49" s="468">
        <f t="shared" si="3"/>
        <v>0</v>
      </c>
      <c r="O49" s="470">
        <f t="shared" si="5"/>
        <v>0</v>
      </c>
      <c r="P49" s="482">
        <v>5</v>
      </c>
      <c r="Q49" s="484">
        <f t="shared" si="4"/>
        <v>0</v>
      </c>
      <c r="S49" s="130"/>
      <c r="T49" s="130"/>
    </row>
    <row r="50" spans="1:20" ht="15.75">
      <c r="A50" s="393"/>
      <c r="B50" s="426"/>
      <c r="C50" s="390" t="s">
        <v>490</v>
      </c>
      <c r="D50" s="390"/>
      <c r="I50" s="425">
        <f>'CUARTEL GENERAL'!K35</f>
        <v>0</v>
      </c>
      <c r="J50" s="425">
        <v>1</v>
      </c>
      <c r="K50" s="425">
        <f t="shared" si="2"/>
        <v>0</v>
      </c>
      <c r="L50" s="467">
        <f>I14</f>
        <v>0.09</v>
      </c>
      <c r="M50" s="467">
        <f>$C$22</f>
        <v>0.5555555555555556</v>
      </c>
      <c r="N50" s="468">
        <f t="shared" si="3"/>
        <v>0</v>
      </c>
      <c r="O50" s="470">
        <f t="shared" si="5"/>
        <v>0</v>
      </c>
      <c r="P50" s="482">
        <v>5</v>
      </c>
      <c r="Q50" s="484">
        <f t="shared" si="4"/>
        <v>0</v>
      </c>
      <c r="S50" s="130"/>
      <c r="T50" s="130"/>
    </row>
    <row r="51" spans="1:20" ht="15.75">
      <c r="A51" s="393"/>
      <c r="B51" s="426"/>
      <c r="C51" s="390" t="s">
        <v>169</v>
      </c>
      <c r="D51" s="390"/>
      <c r="I51" s="425">
        <f>'CUARTEL GENERAL'!K37</f>
        <v>0</v>
      </c>
      <c r="J51" s="425">
        <v>3</v>
      </c>
      <c r="K51" s="425">
        <f t="shared" si="2"/>
        <v>0</v>
      </c>
      <c r="L51" s="467">
        <f>L41</f>
        <v>0.83</v>
      </c>
      <c r="M51" s="467">
        <f>$C$14</f>
        <v>0.5555555555555556</v>
      </c>
      <c r="N51" s="468">
        <f t="shared" si="3"/>
        <v>0</v>
      </c>
      <c r="O51" s="470">
        <f t="shared" si="5"/>
        <v>0</v>
      </c>
      <c r="P51" s="482">
        <v>1</v>
      </c>
      <c r="Q51" s="484">
        <f t="shared" si="4"/>
        <v>0</v>
      </c>
      <c r="S51" s="130"/>
      <c r="T51" s="130"/>
    </row>
    <row r="52" spans="1:20" ht="15.75">
      <c r="A52" s="393"/>
      <c r="B52" s="426"/>
      <c r="C52" s="111" t="str">
        <f aca="true" t="shared" si="6" ref="C52:C57">C46</f>
        <v>Espada sierra</v>
      </c>
      <c r="D52" s="390"/>
      <c r="I52" s="425">
        <f>'CUARTEL GENERAL'!L27</f>
        <v>0</v>
      </c>
      <c r="J52" s="425">
        <v>1</v>
      </c>
      <c r="K52" s="425">
        <f t="shared" si="2"/>
        <v>0</v>
      </c>
      <c r="L52" s="467">
        <f aca="true" t="shared" si="7" ref="L52:M57">L46</f>
        <v>0.09</v>
      </c>
      <c r="M52" s="467">
        <f t="shared" si="7"/>
        <v>0.5555555555555556</v>
      </c>
      <c r="N52" s="468">
        <f t="shared" si="3"/>
        <v>0</v>
      </c>
      <c r="O52" s="470">
        <f t="shared" si="5"/>
        <v>0</v>
      </c>
      <c r="P52" s="482">
        <f aca="true" t="shared" si="8" ref="P52:P57">P46</f>
        <v>5</v>
      </c>
      <c r="Q52" s="484">
        <f t="shared" si="4"/>
        <v>0</v>
      </c>
      <c r="S52" s="130"/>
      <c r="T52" s="130"/>
    </row>
    <row r="53" spans="1:20" ht="15.75">
      <c r="A53" s="393"/>
      <c r="B53" s="426"/>
      <c r="C53" s="111" t="str">
        <f t="shared" si="6"/>
        <v>Arma de energía y pistola o arma cuerpo a cuerpo</v>
      </c>
      <c r="D53" s="390"/>
      <c r="I53" s="425">
        <f>'CUARTEL GENERAL'!L29+'CUARTEL GENERAL'!L73+'CUARTEL GENERAL'!L74</f>
        <v>0</v>
      </c>
      <c r="J53" s="425">
        <v>1</v>
      </c>
      <c r="K53" s="425">
        <f t="shared" si="2"/>
        <v>0</v>
      </c>
      <c r="L53" s="467">
        <f t="shared" si="7"/>
        <v>0.09</v>
      </c>
      <c r="M53" s="467">
        <f t="shared" si="7"/>
        <v>0.5555555555555556</v>
      </c>
      <c r="N53" s="468">
        <f t="shared" si="3"/>
        <v>0</v>
      </c>
      <c r="O53" s="470">
        <f t="shared" si="5"/>
        <v>0</v>
      </c>
      <c r="P53" s="482">
        <f t="shared" si="8"/>
        <v>5</v>
      </c>
      <c r="Q53" s="484">
        <f t="shared" si="4"/>
        <v>0</v>
      </c>
      <c r="S53" s="130"/>
      <c r="T53" s="130"/>
    </row>
    <row r="54" spans="1:20" ht="15.75">
      <c r="A54" s="393"/>
      <c r="B54" s="426"/>
      <c r="C54" s="111" t="str">
        <f t="shared" si="6"/>
        <v>Puño de combate </v>
      </c>
      <c r="D54" s="390"/>
      <c r="I54" s="425">
        <f>'CUARTEL GENERAL'!L31</f>
        <v>0</v>
      </c>
      <c r="J54" s="425">
        <v>4</v>
      </c>
      <c r="K54" s="425">
        <f t="shared" si="2"/>
        <v>0</v>
      </c>
      <c r="L54" s="467">
        <f t="shared" si="7"/>
        <v>0.83</v>
      </c>
      <c r="M54" s="467">
        <f t="shared" si="7"/>
        <v>0.5555555555555556</v>
      </c>
      <c r="N54" s="468">
        <f t="shared" si="3"/>
        <v>0</v>
      </c>
      <c r="O54" s="470">
        <f t="shared" si="5"/>
        <v>0</v>
      </c>
      <c r="P54" s="482">
        <f t="shared" si="8"/>
        <v>1</v>
      </c>
      <c r="Q54" s="484">
        <f t="shared" si="4"/>
        <v>0</v>
      </c>
      <c r="S54" s="130"/>
      <c r="T54" s="130"/>
    </row>
    <row r="55" spans="1:20" ht="15.75">
      <c r="A55" s="393"/>
      <c r="B55" s="426"/>
      <c r="C55" s="111" t="str">
        <f t="shared" si="6"/>
        <v>Garra relámpago</v>
      </c>
      <c r="D55" s="390"/>
      <c r="I55" s="425">
        <f>'CUARTEL GENERAL'!L33</f>
        <v>0</v>
      </c>
      <c r="J55" s="425">
        <v>1</v>
      </c>
      <c r="K55" s="425">
        <f t="shared" si="2"/>
        <v>0</v>
      </c>
      <c r="L55" s="467">
        <f t="shared" si="7"/>
        <v>0.09</v>
      </c>
      <c r="M55" s="467">
        <f t="shared" si="7"/>
        <v>0.5555555555555556</v>
      </c>
      <c r="N55" s="468">
        <f t="shared" si="3"/>
        <v>0</v>
      </c>
      <c r="O55" s="470">
        <f t="shared" si="5"/>
        <v>0</v>
      </c>
      <c r="P55" s="482">
        <f t="shared" si="8"/>
        <v>5</v>
      </c>
      <c r="Q55" s="484">
        <f t="shared" si="4"/>
        <v>0</v>
      </c>
      <c r="S55" s="130"/>
      <c r="T55" s="130"/>
    </row>
    <row r="56" spans="1:20" ht="15.75">
      <c r="A56" s="393"/>
      <c r="B56" s="426"/>
      <c r="C56" s="111" t="str">
        <f t="shared" si="6"/>
        <v>Garras relámpago</v>
      </c>
      <c r="D56" s="390"/>
      <c r="I56" s="425">
        <f>'CUARTEL GENERAL'!L35</f>
        <v>0</v>
      </c>
      <c r="J56" s="425">
        <v>1</v>
      </c>
      <c r="K56" s="425">
        <f t="shared" si="2"/>
        <v>0</v>
      </c>
      <c r="L56" s="467">
        <f t="shared" si="7"/>
        <v>0.09</v>
      </c>
      <c r="M56" s="467">
        <f t="shared" si="7"/>
        <v>0.5555555555555556</v>
      </c>
      <c r="N56" s="468">
        <f t="shared" si="3"/>
        <v>0</v>
      </c>
      <c r="O56" s="470">
        <f t="shared" si="5"/>
        <v>0</v>
      </c>
      <c r="P56" s="482">
        <f t="shared" si="8"/>
        <v>5</v>
      </c>
      <c r="Q56" s="484">
        <f t="shared" si="4"/>
        <v>0</v>
      </c>
      <c r="S56" s="130"/>
      <c r="T56" s="130"/>
    </row>
    <row r="57" spans="1:20" ht="15.75">
      <c r="A57" s="393"/>
      <c r="B57" s="426"/>
      <c r="C57" s="111" t="str">
        <f t="shared" si="6"/>
        <v>Martillo del trueno</v>
      </c>
      <c r="D57" s="390"/>
      <c r="I57" s="425">
        <f>'CUARTEL GENERAL'!L37</f>
        <v>0</v>
      </c>
      <c r="J57" s="425">
        <v>4</v>
      </c>
      <c r="K57" s="425">
        <f t="shared" si="2"/>
        <v>0</v>
      </c>
      <c r="L57" s="467">
        <f t="shared" si="7"/>
        <v>0.83</v>
      </c>
      <c r="M57" s="467">
        <f t="shared" si="7"/>
        <v>0.5555555555555556</v>
      </c>
      <c r="N57" s="468">
        <f t="shared" si="3"/>
        <v>0</v>
      </c>
      <c r="O57" s="470">
        <f t="shared" si="5"/>
        <v>0</v>
      </c>
      <c r="P57" s="482">
        <f t="shared" si="8"/>
        <v>1</v>
      </c>
      <c r="Q57" s="484">
        <f t="shared" si="4"/>
        <v>0</v>
      </c>
      <c r="S57" s="130"/>
      <c r="T57" s="130"/>
    </row>
    <row r="58" spans="1:20" ht="15.75">
      <c r="A58" s="393">
        <v>6</v>
      </c>
      <c r="B58" s="426" t="s">
        <v>513</v>
      </c>
      <c r="C58" s="390"/>
      <c r="D58" s="390"/>
      <c r="I58" s="425"/>
      <c r="J58" s="425"/>
      <c r="K58" s="425"/>
      <c r="L58" s="467"/>
      <c r="M58" s="467"/>
      <c r="N58" s="468"/>
      <c r="O58" s="470"/>
      <c r="P58" s="482"/>
      <c r="Q58" s="484"/>
      <c r="S58" s="130"/>
      <c r="T58" s="130"/>
    </row>
    <row r="59" spans="1:20" ht="15.75">
      <c r="A59" s="393"/>
      <c r="B59" s="426"/>
      <c r="C59" s="390" t="s">
        <v>502</v>
      </c>
      <c r="D59" s="390"/>
      <c r="I59" s="425">
        <f>'CUARTEL GENERAL'!K40+'CUARTEL GENERAL'!K57</f>
        <v>0</v>
      </c>
      <c r="J59" s="425">
        <v>1</v>
      </c>
      <c r="K59" s="425">
        <f>J59*(I59)</f>
        <v>0</v>
      </c>
      <c r="L59" s="467">
        <f>L35</f>
        <v>0.09</v>
      </c>
      <c r="M59" s="467">
        <f>M35</f>
        <v>0.5555555555555556</v>
      </c>
      <c r="N59" s="468">
        <f>K59*L59*M59</f>
        <v>0</v>
      </c>
      <c r="O59" s="470">
        <f>N59</f>
        <v>0</v>
      </c>
      <c r="P59" s="482">
        <v>5</v>
      </c>
      <c r="Q59" s="484">
        <f>P59*K59</f>
        <v>0</v>
      </c>
      <c r="S59" s="130"/>
      <c r="T59" s="130"/>
    </row>
    <row r="60" spans="1:20" ht="15.75">
      <c r="A60" s="393"/>
      <c r="B60" s="426"/>
      <c r="C60" s="390" t="s">
        <v>503</v>
      </c>
      <c r="D60" s="390"/>
      <c r="I60" s="425">
        <f>'CUARTEL GENERAL'!K42+'CUARTEL GENERAL'!K59</f>
        <v>0</v>
      </c>
      <c r="J60" s="425">
        <f>3+'CUARTEL GENERAL'!E45</f>
        <v>3</v>
      </c>
      <c r="K60" s="425">
        <f>J60*(I60)</f>
        <v>0</v>
      </c>
      <c r="L60" s="467">
        <f>L41</f>
        <v>0.83</v>
      </c>
      <c r="M60" s="467">
        <f>C14</f>
        <v>0.5555555555555556</v>
      </c>
      <c r="N60" s="468">
        <f>K60*L60*M60</f>
        <v>0</v>
      </c>
      <c r="O60" s="470">
        <f>N60</f>
        <v>0</v>
      </c>
      <c r="P60" s="482">
        <v>1</v>
      </c>
      <c r="Q60" s="484">
        <f>P60*K60</f>
        <v>0</v>
      </c>
      <c r="S60" s="130"/>
      <c r="T60" s="130"/>
    </row>
    <row r="61" spans="1:20" ht="15.75">
      <c r="A61" s="393"/>
      <c r="B61" s="426"/>
      <c r="C61" s="111" t="s">
        <v>502</v>
      </c>
      <c r="D61" s="390"/>
      <c r="I61" s="425">
        <f>'CUARTEL GENERAL'!L40+'CUARTEL GENERAL'!L57</f>
        <v>0</v>
      </c>
      <c r="J61" s="425">
        <v>1</v>
      </c>
      <c r="K61" s="425">
        <f>J61*(I61)</f>
        <v>0</v>
      </c>
      <c r="L61" s="467">
        <f>L59</f>
        <v>0.09</v>
      </c>
      <c r="M61" s="467">
        <f>M59</f>
        <v>0.5555555555555556</v>
      </c>
      <c r="N61" s="468">
        <f>K61*L61*M61</f>
        <v>0</v>
      </c>
      <c r="O61" s="470">
        <f>N61</f>
        <v>0</v>
      </c>
      <c r="P61" s="482">
        <v>5</v>
      </c>
      <c r="Q61" s="484">
        <f>P61*K61</f>
        <v>0</v>
      </c>
      <c r="S61" s="130"/>
      <c r="T61" s="130"/>
    </row>
    <row r="62" spans="1:20" ht="15.75">
      <c r="A62" s="393"/>
      <c r="B62" s="426"/>
      <c r="C62" s="111" t="s">
        <v>503</v>
      </c>
      <c r="D62" s="390"/>
      <c r="I62" s="425">
        <f>'CUARTEL GENERAL'!L42+'CUARTEL GENERAL'!L59</f>
        <v>0</v>
      </c>
      <c r="J62" s="425">
        <v>4</v>
      </c>
      <c r="K62" s="425">
        <f>J62*(I62)</f>
        <v>0</v>
      </c>
      <c r="L62" s="467">
        <f>L60</f>
        <v>0.83</v>
      </c>
      <c r="M62" s="467">
        <f>M60</f>
        <v>0.5555555555555556</v>
      </c>
      <c r="N62" s="468">
        <f>K62*L62*M62</f>
        <v>0</v>
      </c>
      <c r="O62" s="470">
        <f>N62</f>
        <v>0</v>
      </c>
      <c r="P62" s="482">
        <v>1</v>
      </c>
      <c r="Q62" s="484">
        <f>P62*K62</f>
        <v>0</v>
      </c>
      <c r="S62" s="130"/>
      <c r="T62" s="130"/>
    </row>
    <row r="63" spans="1:20" ht="15.75">
      <c r="A63" s="393">
        <v>7</v>
      </c>
      <c r="B63" s="426" t="s">
        <v>517</v>
      </c>
      <c r="C63" s="111"/>
      <c r="D63" s="390"/>
      <c r="I63" s="425"/>
      <c r="J63" s="425"/>
      <c r="K63" s="425"/>
      <c r="L63" s="467"/>
      <c r="M63" s="467"/>
      <c r="N63" s="468"/>
      <c r="O63" s="470"/>
      <c r="P63" s="482"/>
      <c r="Q63" s="484"/>
      <c r="S63" s="130"/>
      <c r="T63" s="130"/>
    </row>
    <row r="64" spans="1:20" ht="15.75">
      <c r="A64" s="393"/>
      <c r="B64" s="426"/>
      <c r="C64" s="111" t="s">
        <v>494</v>
      </c>
      <c r="D64" s="390"/>
      <c r="I64" s="425">
        <f>'CUARTEL GENERAL'!K75</f>
        <v>0</v>
      </c>
      <c r="J64" s="425">
        <v>3</v>
      </c>
      <c r="K64" s="425">
        <f>J64*(I64)</f>
        <v>0</v>
      </c>
      <c r="L64" s="467">
        <f>L35</f>
        <v>0.09</v>
      </c>
      <c r="M64" s="467">
        <f>C14</f>
        <v>0.5555555555555556</v>
      </c>
      <c r="N64" s="468">
        <f>K64*L64*M64</f>
        <v>0</v>
      </c>
      <c r="O64" s="470">
        <f>N64</f>
        <v>0</v>
      </c>
      <c r="P64" s="482">
        <v>5</v>
      </c>
      <c r="Q64" s="484">
        <f>P64*K64</f>
        <v>0</v>
      </c>
      <c r="S64" s="130"/>
      <c r="T64" s="130"/>
    </row>
    <row r="65" spans="1:20" ht="15.75">
      <c r="A65" s="393">
        <v>8</v>
      </c>
      <c r="B65" s="426" t="s">
        <v>527</v>
      </c>
      <c r="C65" s="111"/>
      <c r="D65" s="390"/>
      <c r="I65" s="425"/>
      <c r="J65" s="425"/>
      <c r="K65" s="425"/>
      <c r="L65" s="467"/>
      <c r="M65" s="467"/>
      <c r="N65" s="468"/>
      <c r="O65" s="470"/>
      <c r="P65" s="482"/>
      <c r="Q65" s="484"/>
      <c r="S65" s="130"/>
      <c r="T65" s="130"/>
    </row>
    <row r="66" spans="1:20" ht="15.75">
      <c r="A66" s="111"/>
      <c r="B66" s="426"/>
      <c r="C66" s="432" t="s">
        <v>300</v>
      </c>
      <c r="D66" s="390"/>
      <c r="I66" s="425">
        <f>'CUARTEL GENERAL'!K92</f>
        <v>0</v>
      </c>
      <c r="J66" s="425">
        <v>1</v>
      </c>
      <c r="K66" s="425">
        <f aca="true" t="shared" si="9" ref="K66:K75">J66*(I66)</f>
        <v>0</v>
      </c>
      <c r="L66" s="467">
        <f>$I$14</f>
        <v>0.09</v>
      </c>
      <c r="M66" s="467">
        <f>$C$22</f>
        <v>0.5555555555555556</v>
      </c>
      <c r="N66" s="468">
        <f aca="true" t="shared" si="10" ref="N66:N75">K66*L66*M66</f>
        <v>0</v>
      </c>
      <c r="O66" s="470"/>
      <c r="P66" s="482">
        <v>4</v>
      </c>
      <c r="Q66" s="484">
        <f aca="true" t="shared" si="11" ref="Q66:Q75">P66*K66</f>
        <v>0</v>
      </c>
      <c r="S66" s="130"/>
      <c r="T66" s="130"/>
    </row>
    <row r="67" spans="1:20" ht="15.75">
      <c r="A67" s="111"/>
      <c r="B67" s="426"/>
      <c r="C67" s="432" t="s">
        <v>528</v>
      </c>
      <c r="D67" s="390"/>
      <c r="I67" s="425">
        <f>'CUARTEL GENERAL'!K93</f>
        <v>0</v>
      </c>
      <c r="J67" s="425">
        <v>1</v>
      </c>
      <c r="K67" s="425">
        <f t="shared" si="9"/>
        <v>0</v>
      </c>
      <c r="L67" s="467">
        <f>$I$14</f>
        <v>0.09</v>
      </c>
      <c r="M67" s="467">
        <f>$C$22</f>
        <v>0.5555555555555556</v>
      </c>
      <c r="N67" s="468">
        <f t="shared" si="10"/>
        <v>0</v>
      </c>
      <c r="O67" s="470"/>
      <c r="P67" s="482">
        <v>4</v>
      </c>
      <c r="Q67" s="484">
        <f t="shared" si="11"/>
        <v>0</v>
      </c>
      <c r="S67" s="130"/>
      <c r="T67" s="130"/>
    </row>
    <row r="68" spans="1:20" ht="15.75">
      <c r="A68" s="111"/>
      <c r="B68" s="426"/>
      <c r="C68" s="432" t="s">
        <v>529</v>
      </c>
      <c r="D68" s="390"/>
      <c r="I68" s="425">
        <f>'CUARTEL GENERAL'!K96</f>
        <v>0</v>
      </c>
      <c r="J68" s="425">
        <v>1</v>
      </c>
      <c r="K68" s="425">
        <f t="shared" si="9"/>
        <v>0</v>
      </c>
      <c r="L68" s="467">
        <f>$I$14</f>
        <v>0.09</v>
      </c>
      <c r="M68" s="467">
        <f>$C$22</f>
        <v>0.5555555555555556</v>
      </c>
      <c r="N68" s="468">
        <f t="shared" si="10"/>
        <v>0</v>
      </c>
      <c r="O68" s="470">
        <f>N68</f>
        <v>0</v>
      </c>
      <c r="P68" s="482">
        <v>4</v>
      </c>
      <c r="Q68" s="484">
        <f t="shared" si="11"/>
        <v>0</v>
      </c>
      <c r="S68" s="130"/>
      <c r="T68" s="130"/>
    </row>
    <row r="69" spans="1:20" ht="15.75">
      <c r="A69" s="111"/>
      <c r="B69" s="426"/>
      <c r="C69" s="432" t="s">
        <v>492</v>
      </c>
      <c r="D69" s="390"/>
      <c r="I69" s="425">
        <f>'CUARTEL GENERAL'!K97</f>
        <v>0</v>
      </c>
      <c r="J69" s="425">
        <v>1</v>
      </c>
      <c r="K69" s="425">
        <f t="shared" si="9"/>
        <v>0</v>
      </c>
      <c r="L69" s="467">
        <f>$I$14</f>
        <v>0.09</v>
      </c>
      <c r="M69" s="467">
        <f>$C$22</f>
        <v>0.5555555555555556</v>
      </c>
      <c r="N69" s="468">
        <f t="shared" si="10"/>
        <v>0</v>
      </c>
      <c r="O69" s="470">
        <f>N69</f>
        <v>0</v>
      </c>
      <c r="P69" s="482">
        <v>4</v>
      </c>
      <c r="Q69" s="484">
        <f t="shared" si="11"/>
        <v>0</v>
      </c>
      <c r="S69" s="130"/>
      <c r="T69" s="130"/>
    </row>
    <row r="70" spans="1:20" ht="15.75">
      <c r="A70" s="111"/>
      <c r="B70" s="426"/>
      <c r="C70" s="432" t="s">
        <v>504</v>
      </c>
      <c r="D70" s="390"/>
      <c r="I70" s="425">
        <f>'CUARTEL GENERAL'!K100+'CUARTEL GENERAL'!K101</f>
        <v>0</v>
      </c>
      <c r="J70" s="425">
        <v>2</v>
      </c>
      <c r="K70" s="425">
        <f t="shared" si="9"/>
        <v>0</v>
      </c>
      <c r="L70" s="467">
        <f>L41</f>
        <v>0.83</v>
      </c>
      <c r="M70" s="467">
        <f>$C$15</f>
        <v>0.5555555555555556</v>
      </c>
      <c r="N70" s="468">
        <f t="shared" si="10"/>
        <v>0</v>
      </c>
      <c r="O70" s="470">
        <f>N70</f>
        <v>0</v>
      </c>
      <c r="P70" s="482">
        <v>1</v>
      </c>
      <c r="Q70" s="484">
        <f t="shared" si="11"/>
        <v>0</v>
      </c>
      <c r="S70" s="130"/>
      <c r="T70" s="130"/>
    </row>
    <row r="71" spans="1:20" ht="15.75">
      <c r="A71" s="111"/>
      <c r="B71" s="426"/>
      <c r="C71" s="111" t="s">
        <v>300</v>
      </c>
      <c r="D71" s="390"/>
      <c r="I71" s="425">
        <f>'CUARTEL GENERAL'!L92</f>
        <v>0</v>
      </c>
      <c r="J71" s="425">
        <v>1</v>
      </c>
      <c r="K71" s="425">
        <f t="shared" si="9"/>
        <v>0</v>
      </c>
      <c r="L71" s="467">
        <f aca="true" t="shared" si="12" ref="L71:M74">L66</f>
        <v>0.09</v>
      </c>
      <c r="M71" s="467">
        <f t="shared" si="12"/>
        <v>0.5555555555555556</v>
      </c>
      <c r="N71" s="468">
        <f t="shared" si="10"/>
        <v>0</v>
      </c>
      <c r="O71" s="470"/>
      <c r="P71" s="482">
        <v>4</v>
      </c>
      <c r="Q71" s="484">
        <f t="shared" si="11"/>
        <v>0</v>
      </c>
      <c r="S71" s="130"/>
      <c r="T71" s="130"/>
    </row>
    <row r="72" spans="1:20" ht="15.75">
      <c r="A72" s="111"/>
      <c r="B72" s="426"/>
      <c r="C72" s="111" t="s">
        <v>528</v>
      </c>
      <c r="D72" s="390"/>
      <c r="I72" s="425">
        <f>'CUARTEL GENERAL'!L93</f>
        <v>0</v>
      </c>
      <c r="J72" s="425">
        <v>1</v>
      </c>
      <c r="K72" s="425">
        <f t="shared" si="9"/>
        <v>0</v>
      </c>
      <c r="L72" s="467">
        <f t="shared" si="12"/>
        <v>0.09</v>
      </c>
      <c r="M72" s="467">
        <f t="shared" si="12"/>
        <v>0.5555555555555556</v>
      </c>
      <c r="N72" s="468">
        <f t="shared" si="10"/>
        <v>0</v>
      </c>
      <c r="O72" s="470"/>
      <c r="P72" s="482">
        <v>4</v>
      </c>
      <c r="Q72" s="484">
        <f t="shared" si="11"/>
        <v>0</v>
      </c>
      <c r="S72" s="130"/>
      <c r="T72" s="130"/>
    </row>
    <row r="73" spans="1:20" ht="15.75">
      <c r="A73" s="111"/>
      <c r="B73" s="426"/>
      <c r="C73" s="111" t="s">
        <v>529</v>
      </c>
      <c r="D73" s="390"/>
      <c r="I73" s="425">
        <f>'CUARTEL GENERAL'!L96</f>
        <v>0</v>
      </c>
      <c r="J73" s="425">
        <v>1</v>
      </c>
      <c r="K73" s="425">
        <f t="shared" si="9"/>
        <v>0</v>
      </c>
      <c r="L73" s="467">
        <f t="shared" si="12"/>
        <v>0.09</v>
      </c>
      <c r="M73" s="467">
        <f t="shared" si="12"/>
        <v>0.5555555555555556</v>
      </c>
      <c r="N73" s="468">
        <f t="shared" si="10"/>
        <v>0</v>
      </c>
      <c r="O73" s="470">
        <f>N73</f>
        <v>0</v>
      </c>
      <c r="P73" s="482">
        <v>4</v>
      </c>
      <c r="Q73" s="484">
        <f t="shared" si="11"/>
        <v>0</v>
      </c>
      <c r="S73" s="130"/>
      <c r="T73" s="130"/>
    </row>
    <row r="74" spans="1:20" ht="15.75">
      <c r="A74" s="111"/>
      <c r="B74" s="426"/>
      <c r="C74" s="111" t="s">
        <v>492</v>
      </c>
      <c r="D74" s="390"/>
      <c r="I74" s="425">
        <f>'CUARTEL GENERAL'!L97</f>
        <v>0</v>
      </c>
      <c r="J74" s="425">
        <v>1</v>
      </c>
      <c r="K74" s="425">
        <f t="shared" si="9"/>
        <v>0</v>
      </c>
      <c r="L74" s="467">
        <f t="shared" si="12"/>
        <v>0.09</v>
      </c>
      <c r="M74" s="467">
        <f t="shared" si="12"/>
        <v>0.5555555555555556</v>
      </c>
      <c r="N74" s="468">
        <f t="shared" si="10"/>
        <v>0</v>
      </c>
      <c r="O74" s="470">
        <f>N74</f>
        <v>0</v>
      </c>
      <c r="P74" s="482">
        <v>4</v>
      </c>
      <c r="Q74" s="484">
        <f t="shared" si="11"/>
        <v>0</v>
      </c>
      <c r="S74" s="130"/>
      <c r="T74" s="130"/>
    </row>
    <row r="75" spans="1:20" ht="15.75">
      <c r="A75" s="111"/>
      <c r="B75" s="426"/>
      <c r="C75" s="111" t="s">
        <v>504</v>
      </c>
      <c r="D75" s="390"/>
      <c r="I75" s="425">
        <f>'CUARTEL GENERAL'!L100</f>
        <v>0</v>
      </c>
      <c r="J75" s="425">
        <v>3</v>
      </c>
      <c r="K75" s="425">
        <f t="shared" si="9"/>
        <v>0</v>
      </c>
      <c r="L75" s="467">
        <f>L70</f>
        <v>0.83</v>
      </c>
      <c r="M75" s="467">
        <f>$C$15</f>
        <v>0.5555555555555556</v>
      </c>
      <c r="N75" s="468">
        <f t="shared" si="10"/>
        <v>0</v>
      </c>
      <c r="O75" s="470">
        <f>N75</f>
        <v>0</v>
      </c>
      <c r="P75" s="482">
        <v>1</v>
      </c>
      <c r="Q75" s="484">
        <f t="shared" si="11"/>
        <v>0</v>
      </c>
      <c r="S75" s="130"/>
      <c r="T75" s="130"/>
    </row>
    <row r="76" spans="2:20" ht="16.5" thickBot="1">
      <c r="B76" s="390"/>
      <c r="C76" s="426"/>
      <c r="D76" s="390"/>
      <c r="I76" s="425"/>
      <c r="J76" s="425"/>
      <c r="K76" s="425"/>
      <c r="L76" s="467"/>
      <c r="M76" s="467"/>
      <c r="N76" s="468"/>
      <c r="O76" s="469"/>
      <c r="P76" s="482"/>
      <c r="Q76" s="483"/>
      <c r="S76" s="130"/>
      <c r="T76" s="130"/>
    </row>
    <row r="77" spans="1:20" ht="13.5" thickBot="1">
      <c r="A77" s="389"/>
      <c r="B77" s="388" t="s">
        <v>13</v>
      </c>
      <c r="C77" s="398"/>
      <c r="D77" s="398"/>
      <c r="E77" s="398"/>
      <c r="F77" s="398"/>
      <c r="G77" s="398"/>
      <c r="H77" s="428"/>
      <c r="I77" s="381">
        <f>SUM(I78:I85)</f>
        <v>0</v>
      </c>
      <c r="J77" s="381"/>
      <c r="K77" s="381">
        <f>SUM(K78:K85)</f>
        <v>0</v>
      </c>
      <c r="L77" s="436"/>
      <c r="M77" s="436"/>
      <c r="N77" s="471">
        <f>SUM(N78:N85)</f>
        <v>0</v>
      </c>
      <c r="O77" s="471">
        <f>SUM(O78:O85)</f>
        <v>0</v>
      </c>
      <c r="P77" s="485"/>
      <c r="Q77" s="471">
        <f>SUM(Q78:Q85)</f>
        <v>0</v>
      </c>
      <c r="S77" s="130"/>
      <c r="T77" s="130"/>
    </row>
    <row r="78" spans="1:20" ht="15.75">
      <c r="A78" s="393">
        <v>1</v>
      </c>
      <c r="B78" s="424" t="s">
        <v>425</v>
      </c>
      <c r="C78" s="390"/>
      <c r="D78" s="390"/>
      <c r="I78" s="425"/>
      <c r="J78" s="425"/>
      <c r="K78" s="425"/>
      <c r="L78" s="467"/>
      <c r="M78" s="467"/>
      <c r="N78" s="468"/>
      <c r="O78" s="469"/>
      <c r="P78" s="482"/>
      <c r="Q78" s="483"/>
      <c r="S78" s="130"/>
      <c r="T78" s="130"/>
    </row>
    <row r="79" spans="1:20" ht="12.75">
      <c r="A79" s="393"/>
      <c r="B79" s="390"/>
      <c r="C79" s="390" t="s">
        <v>537</v>
      </c>
      <c r="D79" s="390"/>
      <c r="I79" s="425">
        <f>LINEA!K5</f>
        <v>0</v>
      </c>
      <c r="J79" s="425">
        <v>1</v>
      </c>
      <c r="K79" s="425">
        <f>J79*(I79)</f>
        <v>0</v>
      </c>
      <c r="L79" s="467">
        <f>L66</f>
        <v>0.09</v>
      </c>
      <c r="M79" s="467">
        <f>$C$22</f>
        <v>0.5555555555555556</v>
      </c>
      <c r="N79" s="468">
        <f>K79*L79*M79</f>
        <v>0</v>
      </c>
      <c r="O79" s="469"/>
      <c r="P79" s="482">
        <v>4</v>
      </c>
      <c r="Q79" s="483">
        <f>K79*P79</f>
        <v>0</v>
      </c>
      <c r="S79" s="130"/>
      <c r="T79" s="130"/>
    </row>
    <row r="80" spans="1:20" ht="12.75">
      <c r="A80" s="393"/>
      <c r="B80" s="390"/>
      <c r="C80" s="390" t="s">
        <v>536</v>
      </c>
      <c r="D80" s="390"/>
      <c r="I80" s="425">
        <f>LINEA!K6</f>
        <v>0</v>
      </c>
      <c r="J80" s="425">
        <v>1</v>
      </c>
      <c r="K80" s="425">
        <f>J80*(I80)</f>
        <v>0</v>
      </c>
      <c r="L80" s="467">
        <f>L67</f>
        <v>0.09</v>
      </c>
      <c r="M80" s="467">
        <f>$C$22</f>
        <v>0.5555555555555556</v>
      </c>
      <c r="N80" s="468">
        <f>K80*L80*M80</f>
        <v>0</v>
      </c>
      <c r="O80" s="469"/>
      <c r="P80" s="482">
        <v>4</v>
      </c>
      <c r="Q80" s="483">
        <f>K80*P80</f>
        <v>0</v>
      </c>
      <c r="S80" s="130"/>
      <c r="T80" s="130"/>
    </row>
    <row r="81" spans="1:20" ht="12.75">
      <c r="A81" s="393"/>
      <c r="B81" s="390"/>
      <c r="C81" s="368" t="s">
        <v>535</v>
      </c>
      <c r="D81" s="390"/>
      <c r="I81" s="425">
        <f>LINEA!K8</f>
        <v>0</v>
      </c>
      <c r="J81" s="425">
        <v>1</v>
      </c>
      <c r="K81" s="425">
        <f>J81*(I81)</f>
        <v>0</v>
      </c>
      <c r="L81" s="467">
        <f>L68</f>
        <v>0.09</v>
      </c>
      <c r="M81" s="467">
        <f>$C$22</f>
        <v>0.5555555555555556</v>
      </c>
      <c r="N81" s="468">
        <f>K81*L81*M81</f>
        <v>0</v>
      </c>
      <c r="O81" s="470"/>
      <c r="P81" s="482">
        <v>4</v>
      </c>
      <c r="Q81" s="483">
        <f>K81*P81</f>
        <v>0</v>
      </c>
      <c r="S81" s="130"/>
      <c r="T81" s="130"/>
    </row>
    <row r="82" spans="1:20" ht="12.75">
      <c r="A82" s="393"/>
      <c r="B82" s="390"/>
      <c r="C82" s="432" t="s">
        <v>492</v>
      </c>
      <c r="D82" s="390"/>
      <c r="I82" s="425">
        <f>LINEA!K10</f>
        <v>0</v>
      </c>
      <c r="J82" s="425">
        <v>1</v>
      </c>
      <c r="K82" s="425">
        <f>J82*(I82)</f>
        <v>0</v>
      </c>
      <c r="L82" s="467">
        <f>L69</f>
        <v>0.09</v>
      </c>
      <c r="M82" s="467">
        <f>$C$22</f>
        <v>0.5555555555555556</v>
      </c>
      <c r="N82" s="468">
        <f>K82*L82*M82</f>
        <v>0</v>
      </c>
      <c r="O82" s="470">
        <f>N82</f>
        <v>0</v>
      </c>
      <c r="P82" s="482">
        <v>4</v>
      </c>
      <c r="Q82" s="483">
        <f>K82*P82</f>
        <v>0</v>
      </c>
      <c r="S82" s="130"/>
      <c r="T82" s="130"/>
    </row>
    <row r="83" spans="1:20" ht="12.75">
      <c r="A83" s="393"/>
      <c r="B83" s="390"/>
      <c r="C83" s="432" t="s">
        <v>504</v>
      </c>
      <c r="D83" s="390"/>
      <c r="I83" s="425">
        <f>LINEA!K12</f>
        <v>0</v>
      </c>
      <c r="J83" s="425">
        <v>2</v>
      </c>
      <c r="K83" s="425">
        <f>J83*(I83)</f>
        <v>0</v>
      </c>
      <c r="L83" s="467">
        <f>L70</f>
        <v>0.83</v>
      </c>
      <c r="M83" s="467">
        <f>$C$15</f>
        <v>0.5555555555555556</v>
      </c>
      <c r="N83" s="468">
        <f>K83*L83*M83</f>
        <v>0</v>
      </c>
      <c r="O83" s="470">
        <f>N83</f>
        <v>0</v>
      </c>
      <c r="P83" s="482">
        <v>1</v>
      </c>
      <c r="Q83" s="483">
        <f>K83*P83</f>
        <v>0</v>
      </c>
      <c r="S83" s="130"/>
      <c r="T83" s="130"/>
    </row>
    <row r="84" spans="1:20" ht="15.75">
      <c r="A84" s="393"/>
      <c r="B84" s="424"/>
      <c r="C84" s="390"/>
      <c r="D84" s="390"/>
      <c r="I84" s="425"/>
      <c r="J84" s="425"/>
      <c r="K84" s="425"/>
      <c r="L84" s="467"/>
      <c r="M84" s="467"/>
      <c r="N84" s="468"/>
      <c r="O84" s="469"/>
      <c r="P84" s="482"/>
      <c r="Q84" s="483"/>
      <c r="S84" s="130"/>
      <c r="T84" s="130"/>
    </row>
    <row r="85" spans="1:20" ht="13.5" thickBot="1">
      <c r="A85" s="393">
        <v>6</v>
      </c>
      <c r="B85" s="390"/>
      <c r="C85" s="390"/>
      <c r="D85" s="390"/>
      <c r="I85" s="425"/>
      <c r="J85" s="425"/>
      <c r="K85" s="425">
        <f>J85*(I85)</f>
        <v>0</v>
      </c>
      <c r="L85" s="467"/>
      <c r="M85" s="467"/>
      <c r="N85" s="468"/>
      <c r="O85" s="469"/>
      <c r="P85" s="482"/>
      <c r="Q85" s="483"/>
      <c r="S85" s="130"/>
      <c r="T85" s="130"/>
    </row>
    <row r="86" spans="1:20" ht="13.5" thickBot="1">
      <c r="A86" s="389"/>
      <c r="B86" s="388" t="s">
        <v>14</v>
      </c>
      <c r="C86" s="398"/>
      <c r="D86" s="398"/>
      <c r="E86" s="398"/>
      <c r="F86" s="398"/>
      <c r="G86" s="398"/>
      <c r="H86" s="428"/>
      <c r="I86" s="381">
        <f>SUM(I87:I126)</f>
        <v>0</v>
      </c>
      <c r="J86" s="381"/>
      <c r="K86" s="381">
        <f>SUM(K87:K126)</f>
        <v>0</v>
      </c>
      <c r="L86" s="436">
        <f>SUM(L87:L126)</f>
        <v>16.799999999999997</v>
      </c>
      <c r="M86" s="436">
        <f>SUM(M87:M126)</f>
        <v>17.77777777777778</v>
      </c>
      <c r="N86" s="471">
        <f>SUM(N87:N126)</f>
        <v>0</v>
      </c>
      <c r="O86" s="471">
        <f>SUM(O87:O126)</f>
        <v>0</v>
      </c>
      <c r="P86" s="485"/>
      <c r="Q86" s="471">
        <f>SUM(Q87:Q126)</f>
        <v>0</v>
      </c>
      <c r="S86" s="130"/>
      <c r="T86" s="130"/>
    </row>
    <row r="87" spans="1:20" ht="15.75">
      <c r="A87" s="393">
        <v>1</v>
      </c>
      <c r="B87" s="424" t="s">
        <v>538</v>
      </c>
      <c r="C87" s="390"/>
      <c r="D87" s="390"/>
      <c r="I87" s="425"/>
      <c r="J87" s="425"/>
      <c r="K87" s="425"/>
      <c r="L87" s="467"/>
      <c r="M87" s="467"/>
      <c r="N87" s="468"/>
      <c r="O87" s="469"/>
      <c r="P87" s="482"/>
      <c r="Q87" s="483"/>
      <c r="S87" s="130"/>
      <c r="T87" s="130"/>
    </row>
    <row r="88" spans="1:20" ht="12.75">
      <c r="A88" s="393"/>
      <c r="B88" s="390"/>
      <c r="C88" s="390" t="s">
        <v>186</v>
      </c>
      <c r="D88" s="390"/>
      <c r="I88" s="425">
        <f>ELITE!K13</f>
        <v>0</v>
      </c>
      <c r="J88" s="425">
        <v>2</v>
      </c>
      <c r="K88" s="425">
        <f>I88*J88</f>
        <v>0</v>
      </c>
      <c r="L88" s="468">
        <f>I10</f>
        <v>1.94</v>
      </c>
      <c r="M88" s="467">
        <f>$C$15</f>
        <v>0.5555555555555556</v>
      </c>
      <c r="N88" s="468">
        <f>K88*L88*M88</f>
        <v>0</v>
      </c>
      <c r="O88" s="470">
        <f>N88</f>
        <v>0</v>
      </c>
      <c r="P88" s="482">
        <v>4</v>
      </c>
      <c r="Q88" s="484">
        <f>K88*P88</f>
        <v>0</v>
      </c>
      <c r="R88" s="486"/>
      <c r="S88" s="130"/>
      <c r="T88" s="130"/>
    </row>
    <row r="89" spans="1:20" ht="12.75">
      <c r="A89" s="393"/>
      <c r="B89" s="390"/>
      <c r="C89" s="390" t="s">
        <v>300</v>
      </c>
      <c r="D89" s="390"/>
      <c r="I89" s="425">
        <f>ELITE!K12</f>
        <v>0</v>
      </c>
      <c r="J89" s="425">
        <f>2</f>
        <v>2</v>
      </c>
      <c r="K89" s="425">
        <f>I89*J89</f>
        <v>0</v>
      </c>
      <c r="L89" s="468">
        <f>I14</f>
        <v>0.09</v>
      </c>
      <c r="M89" s="467">
        <f>$C$15</f>
        <v>0.5555555555555556</v>
      </c>
      <c r="N89" s="468">
        <f>K89*L89*M89</f>
        <v>0</v>
      </c>
      <c r="O89" s="470"/>
      <c r="P89" s="482">
        <v>4</v>
      </c>
      <c r="Q89" s="484">
        <f>K89*P89</f>
        <v>0</v>
      </c>
      <c r="R89" s="486"/>
      <c r="S89" s="130"/>
      <c r="T89" s="130"/>
    </row>
    <row r="90" spans="1:20" ht="15.75">
      <c r="A90" s="393">
        <v>2</v>
      </c>
      <c r="B90" s="424" t="s">
        <v>539</v>
      </c>
      <c r="C90" s="390"/>
      <c r="D90" s="390"/>
      <c r="I90" s="425"/>
      <c r="J90" s="425"/>
      <c r="K90" s="425"/>
      <c r="L90" s="467"/>
      <c r="M90" s="467"/>
      <c r="N90" s="468"/>
      <c r="O90" s="469"/>
      <c r="P90" s="482"/>
      <c r="Q90" s="484"/>
      <c r="S90" s="130"/>
      <c r="T90" s="130"/>
    </row>
    <row r="91" spans="1:20" ht="15.75">
      <c r="A91" s="393"/>
      <c r="B91" s="424"/>
      <c r="C91" s="390" t="s">
        <v>540</v>
      </c>
      <c r="D91" s="390"/>
      <c r="I91" s="425">
        <f>ELITE!K5</f>
        <v>0</v>
      </c>
      <c r="J91" s="425">
        <v>2</v>
      </c>
      <c r="K91" s="425">
        <f aca="true" t="shared" si="13" ref="K91:K100">I91*J91</f>
        <v>0</v>
      </c>
      <c r="L91" s="467">
        <f>L35</f>
        <v>0.09</v>
      </c>
      <c r="M91" s="467">
        <f aca="true" t="shared" si="14" ref="M91:M100">$C$15</f>
        <v>0.5555555555555556</v>
      </c>
      <c r="N91" s="468">
        <f aca="true" t="shared" si="15" ref="N91:N100">K91*L91*M91</f>
        <v>0</v>
      </c>
      <c r="O91" s="470">
        <f aca="true" t="shared" si="16" ref="O91:O100">N91</f>
        <v>0</v>
      </c>
      <c r="P91" s="482">
        <v>4</v>
      </c>
      <c r="Q91" s="484">
        <f aca="true" t="shared" si="17" ref="Q91:Q100">K91*P91</f>
        <v>0</v>
      </c>
      <c r="S91" s="130"/>
      <c r="T91" s="130"/>
    </row>
    <row r="92" spans="1:20" ht="15.75">
      <c r="A92" s="393"/>
      <c r="B92" s="424"/>
      <c r="C92" s="390" t="s">
        <v>541</v>
      </c>
      <c r="D92" s="390"/>
      <c r="I92" s="425">
        <f>ELITE!K8</f>
        <v>0</v>
      </c>
      <c r="J92" s="425">
        <v>3</v>
      </c>
      <c r="K92" s="425">
        <f t="shared" si="13"/>
        <v>0</v>
      </c>
      <c r="L92" s="467">
        <f>L40</f>
        <v>0</v>
      </c>
      <c r="M92" s="467">
        <f t="shared" si="14"/>
        <v>0.5555555555555556</v>
      </c>
      <c r="N92" s="468">
        <f t="shared" si="15"/>
        <v>0</v>
      </c>
      <c r="O92" s="470">
        <f t="shared" si="16"/>
        <v>0</v>
      </c>
      <c r="P92" s="482">
        <v>4</v>
      </c>
      <c r="Q92" s="484">
        <f t="shared" si="17"/>
        <v>0</v>
      </c>
      <c r="S92" s="130"/>
      <c r="T92" s="130"/>
    </row>
    <row r="93" spans="1:20" ht="15.75">
      <c r="A93" s="393"/>
      <c r="B93" s="424"/>
      <c r="C93" s="390" t="s">
        <v>542</v>
      </c>
      <c r="D93" s="390"/>
      <c r="I93" s="425">
        <f>ELITE!K6</f>
        <v>0</v>
      </c>
      <c r="J93" s="425">
        <v>2</v>
      </c>
      <c r="K93" s="425">
        <f t="shared" si="13"/>
        <v>0</v>
      </c>
      <c r="L93" s="467">
        <f>L41</f>
        <v>0.83</v>
      </c>
      <c r="M93" s="467">
        <f t="shared" si="14"/>
        <v>0.5555555555555556</v>
      </c>
      <c r="N93" s="468">
        <f t="shared" si="15"/>
        <v>0</v>
      </c>
      <c r="O93" s="470">
        <f t="shared" si="16"/>
        <v>0</v>
      </c>
      <c r="P93" s="482">
        <v>1</v>
      </c>
      <c r="Q93" s="484">
        <f t="shared" si="17"/>
        <v>0</v>
      </c>
      <c r="S93" s="130"/>
      <c r="T93" s="130"/>
    </row>
    <row r="94" spans="1:20" ht="15.75">
      <c r="A94" s="393"/>
      <c r="B94" s="424"/>
      <c r="C94" s="390" t="s">
        <v>291</v>
      </c>
      <c r="D94" s="390"/>
      <c r="I94" s="425">
        <f>ELITE!K7</f>
        <v>0</v>
      </c>
      <c r="J94" s="425">
        <v>2</v>
      </c>
      <c r="K94" s="425">
        <f t="shared" si="13"/>
        <v>0</v>
      </c>
      <c r="L94" s="467">
        <f>M12</f>
        <v>2.56</v>
      </c>
      <c r="M94" s="467">
        <f t="shared" si="14"/>
        <v>0.5555555555555556</v>
      </c>
      <c r="N94" s="468">
        <f t="shared" si="15"/>
        <v>0</v>
      </c>
      <c r="O94" s="470">
        <f t="shared" si="16"/>
        <v>0</v>
      </c>
      <c r="P94" s="482">
        <v>1</v>
      </c>
      <c r="Q94" s="484">
        <f t="shared" si="17"/>
        <v>0</v>
      </c>
      <c r="S94" s="130"/>
      <c r="T94" s="130"/>
    </row>
    <row r="95" spans="1:20" ht="15.75">
      <c r="A95" s="393"/>
      <c r="B95" s="424"/>
      <c r="C95" s="390" t="s">
        <v>169</v>
      </c>
      <c r="D95" s="390"/>
      <c r="I95" s="425">
        <f>ELITE!K9</f>
        <v>0</v>
      </c>
      <c r="J95" s="425">
        <v>2</v>
      </c>
      <c r="K95" s="425">
        <f t="shared" si="13"/>
        <v>0</v>
      </c>
      <c r="L95" s="467">
        <f>L41</f>
        <v>0.83</v>
      </c>
      <c r="M95" s="467">
        <f t="shared" si="14"/>
        <v>0.5555555555555556</v>
      </c>
      <c r="N95" s="468">
        <f t="shared" si="15"/>
        <v>0</v>
      </c>
      <c r="O95" s="470">
        <f t="shared" si="16"/>
        <v>0</v>
      </c>
      <c r="P95" s="482">
        <v>1</v>
      </c>
      <c r="Q95" s="484">
        <f t="shared" si="17"/>
        <v>0</v>
      </c>
      <c r="S95" s="130"/>
      <c r="T95" s="130"/>
    </row>
    <row r="96" spans="1:20" ht="15.75">
      <c r="A96" s="393"/>
      <c r="B96" s="424"/>
      <c r="C96" s="111" t="s">
        <v>540</v>
      </c>
      <c r="D96" s="390"/>
      <c r="I96" s="425">
        <f>ELITE!L5</f>
        <v>0</v>
      </c>
      <c r="J96" s="425">
        <v>3</v>
      </c>
      <c r="K96" s="425">
        <f t="shared" si="13"/>
        <v>0</v>
      </c>
      <c r="L96" s="467">
        <f>L91</f>
        <v>0.09</v>
      </c>
      <c r="M96" s="467">
        <f t="shared" si="14"/>
        <v>0.5555555555555556</v>
      </c>
      <c r="N96" s="468">
        <f t="shared" si="15"/>
        <v>0</v>
      </c>
      <c r="O96" s="470">
        <f t="shared" si="16"/>
        <v>0</v>
      </c>
      <c r="P96" s="482">
        <v>4</v>
      </c>
      <c r="Q96" s="484">
        <f t="shared" si="17"/>
        <v>0</v>
      </c>
      <c r="S96" s="130"/>
      <c r="T96" s="130"/>
    </row>
    <row r="97" spans="1:20" ht="15.75">
      <c r="A97" s="393"/>
      <c r="B97" s="424"/>
      <c r="C97" s="111" t="s">
        <v>541</v>
      </c>
      <c r="D97" s="390"/>
      <c r="I97" s="425">
        <f>ELITE!L8</f>
        <v>0</v>
      </c>
      <c r="J97" s="425">
        <v>4</v>
      </c>
      <c r="K97" s="425">
        <f t="shared" si="13"/>
        <v>0</v>
      </c>
      <c r="L97" s="467">
        <f>L92</f>
        <v>0</v>
      </c>
      <c r="M97" s="467">
        <f t="shared" si="14"/>
        <v>0.5555555555555556</v>
      </c>
      <c r="N97" s="468">
        <f t="shared" si="15"/>
        <v>0</v>
      </c>
      <c r="O97" s="470">
        <f t="shared" si="16"/>
        <v>0</v>
      </c>
      <c r="P97" s="482">
        <v>4</v>
      </c>
      <c r="Q97" s="484">
        <f t="shared" si="17"/>
        <v>0</v>
      </c>
      <c r="S97" s="130"/>
      <c r="T97" s="130"/>
    </row>
    <row r="98" spans="1:20" ht="15.75">
      <c r="A98" s="393"/>
      <c r="B98" s="424"/>
      <c r="C98" s="111" t="s">
        <v>542</v>
      </c>
      <c r="D98" s="390"/>
      <c r="I98" s="425">
        <f>ELITE!L6</f>
        <v>0</v>
      </c>
      <c r="J98" s="425">
        <v>3</v>
      </c>
      <c r="K98" s="425">
        <f t="shared" si="13"/>
        <v>0</v>
      </c>
      <c r="L98" s="467">
        <f>L93</f>
        <v>0.83</v>
      </c>
      <c r="M98" s="467">
        <f t="shared" si="14"/>
        <v>0.5555555555555556</v>
      </c>
      <c r="N98" s="468">
        <f t="shared" si="15"/>
        <v>0</v>
      </c>
      <c r="O98" s="470">
        <f t="shared" si="16"/>
        <v>0</v>
      </c>
      <c r="P98" s="482">
        <v>1</v>
      </c>
      <c r="Q98" s="484">
        <f t="shared" si="17"/>
        <v>0</v>
      </c>
      <c r="S98" s="130"/>
      <c r="T98" s="130"/>
    </row>
    <row r="99" spans="1:20" ht="15.75">
      <c r="A99" s="393"/>
      <c r="B99" s="424"/>
      <c r="C99" s="111" t="s">
        <v>291</v>
      </c>
      <c r="D99" s="390"/>
      <c r="I99" s="425">
        <f>ELITE!L7</f>
        <v>0</v>
      </c>
      <c r="J99" s="425">
        <v>3</v>
      </c>
      <c r="K99" s="425">
        <f t="shared" si="13"/>
        <v>0</v>
      </c>
      <c r="L99" s="467">
        <f>L94</f>
        <v>2.56</v>
      </c>
      <c r="M99" s="467">
        <f t="shared" si="14"/>
        <v>0.5555555555555556</v>
      </c>
      <c r="N99" s="468">
        <f t="shared" si="15"/>
        <v>0</v>
      </c>
      <c r="O99" s="470">
        <f t="shared" si="16"/>
        <v>0</v>
      </c>
      <c r="P99" s="482">
        <v>1</v>
      </c>
      <c r="Q99" s="484">
        <f t="shared" si="17"/>
        <v>0</v>
      </c>
      <c r="S99" s="130"/>
      <c r="T99" s="130"/>
    </row>
    <row r="100" spans="1:20" ht="15.75">
      <c r="A100" s="393"/>
      <c r="B100" s="424"/>
      <c r="C100" s="111" t="s">
        <v>169</v>
      </c>
      <c r="D100" s="390"/>
      <c r="I100" s="425">
        <f>ELITE!L9</f>
        <v>0</v>
      </c>
      <c r="J100" s="425">
        <v>3</v>
      </c>
      <c r="K100" s="425">
        <f t="shared" si="13"/>
        <v>0</v>
      </c>
      <c r="L100" s="467">
        <f>L95</f>
        <v>0.83</v>
      </c>
      <c r="M100" s="467">
        <f t="shared" si="14"/>
        <v>0.5555555555555556</v>
      </c>
      <c r="N100" s="468">
        <f t="shared" si="15"/>
        <v>0</v>
      </c>
      <c r="O100" s="470">
        <f t="shared" si="16"/>
        <v>0</v>
      </c>
      <c r="P100" s="482">
        <v>1</v>
      </c>
      <c r="Q100" s="484">
        <f t="shared" si="17"/>
        <v>0</v>
      </c>
      <c r="S100" s="130"/>
      <c r="T100" s="130"/>
    </row>
    <row r="101" spans="1:20" ht="15.75">
      <c r="A101" s="393">
        <v>2</v>
      </c>
      <c r="B101" s="424" t="s">
        <v>307</v>
      </c>
      <c r="C101" s="111"/>
      <c r="D101" s="390"/>
      <c r="I101" s="425"/>
      <c r="J101" s="425"/>
      <c r="K101" s="425"/>
      <c r="L101" s="467"/>
      <c r="M101" s="467"/>
      <c r="N101" s="468"/>
      <c r="O101" s="470"/>
      <c r="P101" s="482"/>
      <c r="Q101" s="484"/>
      <c r="S101" s="130"/>
      <c r="T101" s="130"/>
    </row>
    <row r="102" spans="1:20" ht="15.75">
      <c r="A102" s="393"/>
      <c r="B102" s="424"/>
      <c r="C102" s="432" t="s">
        <v>300</v>
      </c>
      <c r="D102" s="390"/>
      <c r="I102" s="425">
        <f>ELITE!K34</f>
        <v>0</v>
      </c>
      <c r="J102" s="425">
        <v>1</v>
      </c>
      <c r="K102" s="425">
        <f aca="true" t="shared" si="18" ref="K102:K107">I102*J102</f>
        <v>0</v>
      </c>
      <c r="L102" s="467">
        <f>$L$35</f>
        <v>0.09</v>
      </c>
      <c r="M102" s="467">
        <f>$C$22</f>
        <v>0.5555555555555556</v>
      </c>
      <c r="N102" s="468">
        <f aca="true" t="shared" si="19" ref="N102:N107">K102*L102*M102</f>
        <v>0</v>
      </c>
      <c r="O102" s="470"/>
      <c r="P102" s="482">
        <v>4</v>
      </c>
      <c r="Q102" s="484">
        <f aca="true" t="shared" si="20" ref="Q102:Q107">K102*P102</f>
        <v>0</v>
      </c>
      <c r="S102" s="130"/>
      <c r="T102" s="130"/>
    </row>
    <row r="103" spans="1:20" ht="15.75">
      <c r="A103" s="393"/>
      <c r="B103" s="424"/>
      <c r="C103" s="111" t="s">
        <v>546</v>
      </c>
      <c r="I103" s="425">
        <f>ELITE!K35</f>
        <v>0</v>
      </c>
      <c r="J103" s="425">
        <v>1</v>
      </c>
      <c r="K103" s="425">
        <f t="shared" si="18"/>
        <v>0</v>
      </c>
      <c r="L103" s="467">
        <f>$L$35</f>
        <v>0.09</v>
      </c>
      <c r="M103" s="467">
        <f>$C$22</f>
        <v>0.5555555555555556</v>
      </c>
      <c r="N103" s="468">
        <f t="shared" si="19"/>
        <v>0</v>
      </c>
      <c r="O103" s="470"/>
      <c r="P103" s="482">
        <v>4</v>
      </c>
      <c r="Q103" s="484">
        <f t="shared" si="20"/>
        <v>0</v>
      </c>
      <c r="S103" s="130"/>
      <c r="T103" s="130"/>
    </row>
    <row r="104" spans="1:20" ht="15.75">
      <c r="A104" s="393"/>
      <c r="B104" s="424"/>
      <c r="C104" s="111" t="s">
        <v>547</v>
      </c>
      <c r="I104" s="425">
        <f>ELITE!K36</f>
        <v>0</v>
      </c>
      <c r="J104" s="425">
        <v>1</v>
      </c>
      <c r="K104" s="425">
        <f t="shared" si="18"/>
        <v>0</v>
      </c>
      <c r="L104" s="467">
        <f>$L$35</f>
        <v>0.09</v>
      </c>
      <c r="M104" s="467">
        <f>$C$22</f>
        <v>0.5555555555555556</v>
      </c>
      <c r="N104" s="468">
        <f t="shared" si="19"/>
        <v>0</v>
      </c>
      <c r="O104" s="470"/>
      <c r="P104" s="482">
        <v>4</v>
      </c>
      <c r="Q104" s="484">
        <f t="shared" si="20"/>
        <v>0</v>
      </c>
      <c r="S104" s="130"/>
      <c r="T104" s="130"/>
    </row>
    <row r="105" spans="1:20" ht="15.75">
      <c r="A105" s="393"/>
      <c r="B105" s="424"/>
      <c r="C105" s="432" t="s">
        <v>548</v>
      </c>
      <c r="D105" s="390"/>
      <c r="I105" s="425">
        <f>ELITE!K38</f>
        <v>0</v>
      </c>
      <c r="J105" s="425">
        <v>1</v>
      </c>
      <c r="K105" s="425">
        <f t="shared" si="18"/>
        <v>0</v>
      </c>
      <c r="L105" s="467">
        <f>$L$35</f>
        <v>0.09</v>
      </c>
      <c r="M105" s="467">
        <f>$C$22</f>
        <v>0.5555555555555556</v>
      </c>
      <c r="N105" s="468">
        <f t="shared" si="19"/>
        <v>0</v>
      </c>
      <c r="O105" s="470"/>
      <c r="P105" s="482">
        <v>4</v>
      </c>
      <c r="Q105" s="484">
        <f t="shared" si="20"/>
        <v>0</v>
      </c>
      <c r="S105" s="130"/>
      <c r="T105" s="130"/>
    </row>
    <row r="106" spans="1:20" ht="15.75">
      <c r="A106" s="393"/>
      <c r="B106" s="424"/>
      <c r="C106" s="432" t="s">
        <v>549</v>
      </c>
      <c r="D106" s="390"/>
      <c r="I106" s="425">
        <f>ELITE!K40</f>
        <v>0</v>
      </c>
      <c r="J106" s="425">
        <v>1</v>
      </c>
      <c r="K106" s="425">
        <f t="shared" si="18"/>
        <v>0</v>
      </c>
      <c r="L106" s="467">
        <f>$L$35</f>
        <v>0.09</v>
      </c>
      <c r="M106" s="467">
        <f>$C$22</f>
        <v>0.5555555555555556</v>
      </c>
      <c r="N106" s="468">
        <f t="shared" si="19"/>
        <v>0</v>
      </c>
      <c r="O106" s="470">
        <f>N106</f>
        <v>0</v>
      </c>
      <c r="P106" s="482">
        <v>4</v>
      </c>
      <c r="Q106" s="484">
        <f t="shared" si="20"/>
        <v>0</v>
      </c>
      <c r="S106" s="130"/>
      <c r="T106" s="130"/>
    </row>
    <row r="107" spans="1:20" ht="15.75">
      <c r="A107" s="393"/>
      <c r="B107" s="424"/>
      <c r="C107" s="432" t="s">
        <v>550</v>
      </c>
      <c r="D107" s="390"/>
      <c r="I107" s="425">
        <f>ELITE!K42</f>
        <v>0</v>
      </c>
      <c r="J107" s="425">
        <v>2</v>
      </c>
      <c r="K107" s="425">
        <f t="shared" si="18"/>
        <v>0</v>
      </c>
      <c r="L107" s="467">
        <f>L41</f>
        <v>0.83</v>
      </c>
      <c r="M107" s="467">
        <f>$C$15</f>
        <v>0.5555555555555556</v>
      </c>
      <c r="N107" s="468">
        <f t="shared" si="19"/>
        <v>0</v>
      </c>
      <c r="O107" s="470">
        <f>N107</f>
        <v>0</v>
      </c>
      <c r="P107" s="482">
        <v>1</v>
      </c>
      <c r="Q107" s="484">
        <f t="shared" si="20"/>
        <v>0</v>
      </c>
      <c r="S107" s="130"/>
      <c r="T107" s="130"/>
    </row>
    <row r="108" spans="1:20" ht="15.75">
      <c r="A108" s="393">
        <v>3</v>
      </c>
      <c r="B108" s="424" t="s">
        <v>301</v>
      </c>
      <c r="C108" s="432"/>
      <c r="D108" s="390"/>
      <c r="I108" s="425"/>
      <c r="J108" s="425"/>
      <c r="K108" s="425"/>
      <c r="L108" s="467"/>
      <c r="M108" s="467"/>
      <c r="N108" s="468"/>
      <c r="O108" s="470"/>
      <c r="P108" s="482"/>
      <c r="Q108" s="484"/>
      <c r="S108" s="130"/>
      <c r="T108" s="130"/>
    </row>
    <row r="109" spans="1:20" ht="15.75">
      <c r="A109" s="393"/>
      <c r="B109" s="424"/>
      <c r="C109" s="432" t="s">
        <v>266</v>
      </c>
      <c r="D109" s="390"/>
      <c r="I109" s="425">
        <f>ELITE!K23+ELITE!K25</f>
        <v>0</v>
      </c>
      <c r="J109" s="425">
        <v>1</v>
      </c>
      <c r="K109" s="425">
        <f aca="true" t="shared" si="21" ref="K109:K114">I109*J109</f>
        <v>0</v>
      </c>
      <c r="L109" s="467">
        <f>$I$14</f>
        <v>0.09</v>
      </c>
      <c r="M109" s="467">
        <f>$C$22</f>
        <v>0.5555555555555556</v>
      </c>
      <c r="N109" s="468">
        <f aca="true" t="shared" si="22" ref="N109:N114">K109*L109*M109</f>
        <v>0</v>
      </c>
      <c r="O109" s="470">
        <f>N109</f>
        <v>0</v>
      </c>
      <c r="P109" s="482">
        <v>4</v>
      </c>
      <c r="Q109" s="484">
        <f aca="true" t="shared" si="23" ref="Q109:Q114">K109*P109</f>
        <v>0</v>
      </c>
      <c r="S109" s="130"/>
      <c r="T109" s="130"/>
    </row>
    <row r="110" spans="1:20" ht="15.75">
      <c r="A110" s="393"/>
      <c r="B110" s="424"/>
      <c r="C110" s="432" t="s">
        <v>555</v>
      </c>
      <c r="D110" s="390"/>
      <c r="I110" s="425">
        <f>ELITE!K24+ELITE!K26</f>
        <v>0</v>
      </c>
      <c r="J110" s="425">
        <v>1</v>
      </c>
      <c r="K110" s="425">
        <f t="shared" si="21"/>
        <v>0</v>
      </c>
      <c r="L110" s="467">
        <f>$I$14</f>
        <v>0.09</v>
      </c>
      <c r="M110" s="467">
        <f>$C$22</f>
        <v>0.5555555555555556</v>
      </c>
      <c r="N110" s="468">
        <f t="shared" si="22"/>
        <v>0</v>
      </c>
      <c r="O110" s="470">
        <f>N110</f>
        <v>0</v>
      </c>
      <c r="P110" s="482">
        <v>4</v>
      </c>
      <c r="Q110" s="484">
        <f t="shared" si="23"/>
        <v>0</v>
      </c>
      <c r="S110" s="130"/>
      <c r="T110" s="130"/>
    </row>
    <row r="111" spans="1:20" ht="15.75">
      <c r="A111" s="393"/>
      <c r="B111" s="424"/>
      <c r="C111" s="432" t="s">
        <v>552</v>
      </c>
      <c r="D111" s="390"/>
      <c r="I111" s="425">
        <f>ELITE!K23+ELITE!K24</f>
        <v>0</v>
      </c>
      <c r="J111" s="425">
        <v>1</v>
      </c>
      <c r="K111" s="425">
        <f t="shared" si="21"/>
        <v>0</v>
      </c>
      <c r="L111" s="467">
        <f>$L$41</f>
        <v>0.83</v>
      </c>
      <c r="M111" s="467">
        <f>$C$15</f>
        <v>0.5555555555555556</v>
      </c>
      <c r="N111" s="468">
        <f t="shared" si="22"/>
        <v>0</v>
      </c>
      <c r="O111" s="470">
        <f>N111</f>
        <v>0</v>
      </c>
      <c r="P111" s="482">
        <v>1</v>
      </c>
      <c r="Q111" s="484">
        <f t="shared" si="23"/>
        <v>0</v>
      </c>
      <c r="S111" s="130"/>
      <c r="T111" s="130"/>
    </row>
    <row r="112" spans="1:20" ht="15.75">
      <c r="A112" s="393"/>
      <c r="B112" s="424"/>
      <c r="C112" s="432" t="s">
        <v>558</v>
      </c>
      <c r="D112" s="390"/>
      <c r="I112" s="425">
        <f>ELITE!K25+ELITE!K26</f>
        <v>0</v>
      </c>
      <c r="J112" s="425">
        <v>2</v>
      </c>
      <c r="K112" s="425">
        <f t="shared" si="21"/>
        <v>0</v>
      </c>
      <c r="L112" s="467">
        <f>$L$41</f>
        <v>0.83</v>
      </c>
      <c r="M112" s="467">
        <f>$C$15</f>
        <v>0.5555555555555556</v>
      </c>
      <c r="N112" s="468">
        <f t="shared" si="22"/>
        <v>0</v>
      </c>
      <c r="O112" s="470">
        <f>N112</f>
        <v>0</v>
      </c>
      <c r="P112" s="482">
        <v>1</v>
      </c>
      <c r="Q112" s="484">
        <f t="shared" si="23"/>
        <v>0</v>
      </c>
      <c r="S112" s="130"/>
      <c r="T112" s="130"/>
    </row>
    <row r="113" spans="1:20" ht="15.75">
      <c r="A113" s="393"/>
      <c r="B113" s="424"/>
      <c r="C113" s="432" t="s">
        <v>553</v>
      </c>
      <c r="D113" s="390"/>
      <c r="I113" s="425">
        <f>ELITE!H29+ELITE!H30+ELITE!H31+ELITE!K27</f>
        <v>0</v>
      </c>
      <c r="J113" s="425">
        <v>1</v>
      </c>
      <c r="K113" s="425">
        <f t="shared" si="21"/>
        <v>0</v>
      </c>
      <c r="L113" s="467">
        <f>I17</f>
        <v>0</v>
      </c>
      <c r="M113" s="467">
        <f>$C$15</f>
        <v>0.5555555555555556</v>
      </c>
      <c r="N113" s="468">
        <f t="shared" si="22"/>
        <v>0</v>
      </c>
      <c r="O113" s="470"/>
      <c r="P113" s="482">
        <v>3</v>
      </c>
      <c r="Q113" s="484">
        <f t="shared" si="23"/>
        <v>0</v>
      </c>
      <c r="S113" s="130"/>
      <c r="T113" s="130"/>
    </row>
    <row r="114" spans="1:20" ht="15.75">
      <c r="A114" s="393"/>
      <c r="B114" s="424"/>
      <c r="C114" s="432" t="s">
        <v>554</v>
      </c>
      <c r="D114" s="390"/>
      <c r="I114" s="425">
        <f>ELITE!K27</f>
        <v>0</v>
      </c>
      <c r="J114" s="425">
        <v>1</v>
      </c>
      <c r="K114" s="425">
        <f t="shared" si="21"/>
        <v>0</v>
      </c>
      <c r="L114" s="467">
        <f>$L$41</f>
        <v>0.83</v>
      </c>
      <c r="M114" s="467">
        <f>$C$15</f>
        <v>0.5555555555555556</v>
      </c>
      <c r="N114" s="468">
        <f t="shared" si="22"/>
        <v>0</v>
      </c>
      <c r="O114" s="470">
        <f>N114</f>
        <v>0</v>
      </c>
      <c r="P114" s="482">
        <v>1</v>
      </c>
      <c r="Q114" s="484">
        <f t="shared" si="23"/>
        <v>0</v>
      </c>
      <c r="S114" s="130"/>
      <c r="T114" s="130"/>
    </row>
    <row r="115" spans="1:20" ht="15.75">
      <c r="A115" s="393">
        <v>3</v>
      </c>
      <c r="B115" s="424" t="s">
        <v>308</v>
      </c>
      <c r="C115" s="432"/>
      <c r="D115" s="390"/>
      <c r="I115" s="425"/>
      <c r="J115" s="425"/>
      <c r="K115" s="425"/>
      <c r="L115" s="467"/>
      <c r="M115" s="467"/>
      <c r="N115" s="468"/>
      <c r="O115" s="470"/>
      <c r="P115" s="482"/>
      <c r="Q115" s="484"/>
      <c r="S115" s="130"/>
      <c r="T115" s="130"/>
    </row>
    <row r="116" spans="1:20" ht="15.75">
      <c r="A116" s="393"/>
      <c r="B116" s="424"/>
      <c r="C116" s="432" t="s">
        <v>300</v>
      </c>
      <c r="D116" s="390"/>
      <c r="I116" s="425">
        <f>ELITE!K46</f>
        <v>0</v>
      </c>
      <c r="J116" s="425">
        <v>1</v>
      </c>
      <c r="K116" s="425">
        <f aca="true" t="shared" si="24" ref="K116:K123">I116*J116</f>
        <v>0</v>
      </c>
      <c r="L116" s="467">
        <f>$I$14</f>
        <v>0.09</v>
      </c>
      <c r="M116" s="467">
        <f>$C$22</f>
        <v>0.5555555555555556</v>
      </c>
      <c r="N116" s="468">
        <f aca="true" t="shared" si="25" ref="N116:N123">K116*L116*M116</f>
        <v>0</v>
      </c>
      <c r="O116" s="470"/>
      <c r="P116" s="482">
        <v>4</v>
      </c>
      <c r="Q116" s="484">
        <f aca="true" t="shared" si="26" ref="Q116:Q123">K116*P116</f>
        <v>0</v>
      </c>
      <c r="S116" s="130"/>
      <c r="T116" s="130"/>
    </row>
    <row r="117" spans="1:20" ht="15.75">
      <c r="A117" s="393"/>
      <c r="B117" s="424"/>
      <c r="C117" s="432" t="s">
        <v>528</v>
      </c>
      <c r="D117" s="390"/>
      <c r="I117" s="425">
        <f>ELITE!K48</f>
        <v>0</v>
      </c>
      <c r="J117" s="425">
        <v>1</v>
      </c>
      <c r="K117" s="425">
        <f t="shared" si="24"/>
        <v>0</v>
      </c>
      <c r="L117" s="467">
        <f>$I$14</f>
        <v>0.09</v>
      </c>
      <c r="M117" s="467">
        <f>$C$22</f>
        <v>0.5555555555555556</v>
      </c>
      <c r="N117" s="468">
        <f t="shared" si="25"/>
        <v>0</v>
      </c>
      <c r="O117" s="470"/>
      <c r="P117" s="482">
        <v>4</v>
      </c>
      <c r="Q117" s="484">
        <f t="shared" si="26"/>
        <v>0</v>
      </c>
      <c r="S117" s="130"/>
      <c r="T117" s="130"/>
    </row>
    <row r="118" spans="1:20" ht="15.75">
      <c r="A118" s="393"/>
      <c r="B118" s="424"/>
      <c r="C118" s="432" t="s">
        <v>529</v>
      </c>
      <c r="D118" s="390"/>
      <c r="I118" s="425">
        <f>ELITE!K50</f>
        <v>0</v>
      </c>
      <c r="J118" s="425">
        <v>1</v>
      </c>
      <c r="K118" s="425">
        <f t="shared" si="24"/>
        <v>0</v>
      </c>
      <c r="L118" s="467">
        <f>$I$14</f>
        <v>0.09</v>
      </c>
      <c r="M118" s="467">
        <f>$C$22</f>
        <v>0.5555555555555556</v>
      </c>
      <c r="N118" s="468">
        <f t="shared" si="25"/>
        <v>0</v>
      </c>
      <c r="O118" s="470">
        <f aca="true" t="shared" si="27" ref="O118:O123">N118</f>
        <v>0</v>
      </c>
      <c r="P118" s="482">
        <v>4</v>
      </c>
      <c r="Q118" s="484">
        <f t="shared" si="26"/>
        <v>0</v>
      </c>
      <c r="S118" s="130"/>
      <c r="T118" s="130"/>
    </row>
    <row r="119" spans="1:20" ht="15.75">
      <c r="A119" s="393"/>
      <c r="B119" s="424"/>
      <c r="C119" s="432" t="s">
        <v>492</v>
      </c>
      <c r="D119" s="390"/>
      <c r="I119" s="425">
        <f>ELITE!K52</f>
        <v>0</v>
      </c>
      <c r="J119" s="425">
        <v>1</v>
      </c>
      <c r="K119" s="425">
        <f t="shared" si="24"/>
        <v>0</v>
      </c>
      <c r="L119" s="467">
        <f>$I$14</f>
        <v>0.09</v>
      </c>
      <c r="M119" s="467">
        <f>$C$22</f>
        <v>0.5555555555555556</v>
      </c>
      <c r="N119" s="468">
        <f t="shared" si="25"/>
        <v>0</v>
      </c>
      <c r="O119" s="470">
        <f t="shared" si="27"/>
        <v>0</v>
      </c>
      <c r="P119" s="482">
        <v>4</v>
      </c>
      <c r="Q119" s="484">
        <f t="shared" si="26"/>
        <v>0</v>
      </c>
      <c r="S119" s="130"/>
      <c r="T119" s="130"/>
    </row>
    <row r="120" spans="1:20" ht="15.75">
      <c r="A120" s="393"/>
      <c r="B120" s="424"/>
      <c r="C120" s="432" t="s">
        <v>504</v>
      </c>
      <c r="D120" s="390"/>
      <c r="I120" s="425">
        <f>ELITE!K54</f>
        <v>0</v>
      </c>
      <c r="J120" s="425">
        <v>2</v>
      </c>
      <c r="K120" s="425">
        <f t="shared" si="24"/>
        <v>0</v>
      </c>
      <c r="L120" s="467">
        <f>L41</f>
        <v>0.83</v>
      </c>
      <c r="M120" s="467">
        <f>$C$15</f>
        <v>0.5555555555555556</v>
      </c>
      <c r="N120" s="468">
        <f t="shared" si="25"/>
        <v>0</v>
      </c>
      <c r="O120" s="470">
        <f t="shared" si="27"/>
        <v>0</v>
      </c>
      <c r="P120" s="482">
        <v>1</v>
      </c>
      <c r="Q120" s="484">
        <f t="shared" si="26"/>
        <v>0</v>
      </c>
      <c r="S120" s="130"/>
      <c r="T120" s="130"/>
    </row>
    <row r="121" spans="1:20" ht="15.75">
      <c r="A121" s="393"/>
      <c r="B121" s="424"/>
      <c r="C121" s="432" t="s">
        <v>268</v>
      </c>
      <c r="D121" s="390"/>
      <c r="I121" s="425">
        <f>ELITE!K56</f>
        <v>0</v>
      </c>
      <c r="J121" s="425">
        <v>1</v>
      </c>
      <c r="K121" s="425">
        <f t="shared" si="24"/>
        <v>0</v>
      </c>
      <c r="L121" s="467">
        <f>$I$14</f>
        <v>0.09</v>
      </c>
      <c r="M121" s="467">
        <f>$C$22</f>
        <v>0.5555555555555556</v>
      </c>
      <c r="N121" s="468">
        <f t="shared" si="25"/>
        <v>0</v>
      </c>
      <c r="O121" s="470">
        <f t="shared" si="27"/>
        <v>0</v>
      </c>
      <c r="P121" s="482">
        <v>4</v>
      </c>
      <c r="Q121" s="484">
        <f t="shared" si="26"/>
        <v>0</v>
      </c>
      <c r="S121" s="130"/>
      <c r="T121" s="130"/>
    </row>
    <row r="122" spans="1:20" ht="15.75">
      <c r="A122" s="393"/>
      <c r="B122" s="424"/>
      <c r="C122" s="432" t="s">
        <v>541</v>
      </c>
      <c r="D122" s="390"/>
      <c r="I122" s="425">
        <f>ELITE!K58</f>
        <v>0</v>
      </c>
      <c r="J122" s="425">
        <v>1</v>
      </c>
      <c r="K122" s="425">
        <f t="shared" si="24"/>
        <v>0</v>
      </c>
      <c r="L122" s="467">
        <f>L121</f>
        <v>0.09</v>
      </c>
      <c r="M122" s="467">
        <f>$C$22</f>
        <v>0.5555555555555556</v>
      </c>
      <c r="N122" s="468">
        <f t="shared" si="25"/>
        <v>0</v>
      </c>
      <c r="O122" s="470">
        <f t="shared" si="27"/>
        <v>0</v>
      </c>
      <c r="P122" s="482">
        <v>4</v>
      </c>
      <c r="Q122" s="484">
        <f t="shared" si="26"/>
        <v>0</v>
      </c>
      <c r="S122" s="130"/>
      <c r="T122" s="130"/>
    </row>
    <row r="123" spans="1:20" ht="15.75">
      <c r="A123" s="393"/>
      <c r="B123" s="424"/>
      <c r="C123" s="432" t="s">
        <v>169</v>
      </c>
      <c r="D123" s="390"/>
      <c r="I123" s="425">
        <f>ELITE!K60</f>
        <v>0</v>
      </c>
      <c r="J123" s="425">
        <v>2</v>
      </c>
      <c r="K123" s="425">
        <f t="shared" si="24"/>
        <v>0</v>
      </c>
      <c r="L123" s="467">
        <f>L120</f>
        <v>0.83</v>
      </c>
      <c r="M123" s="467">
        <f>$C$15</f>
        <v>0.5555555555555556</v>
      </c>
      <c r="N123" s="468">
        <f t="shared" si="25"/>
        <v>0</v>
      </c>
      <c r="O123" s="470">
        <f t="shared" si="27"/>
        <v>0</v>
      </c>
      <c r="P123" s="482">
        <v>1</v>
      </c>
      <c r="Q123" s="484">
        <f t="shared" si="26"/>
        <v>0</v>
      </c>
      <c r="S123" s="130"/>
      <c r="T123" s="130"/>
    </row>
    <row r="124" spans="1:20" ht="15.75">
      <c r="A124" s="393"/>
      <c r="B124" s="424"/>
      <c r="C124" s="432"/>
      <c r="D124" s="390"/>
      <c r="I124" s="425"/>
      <c r="J124" s="425"/>
      <c r="K124" s="425"/>
      <c r="L124" s="467"/>
      <c r="M124" s="467"/>
      <c r="N124" s="468"/>
      <c r="O124" s="470"/>
      <c r="P124" s="482"/>
      <c r="Q124" s="484"/>
      <c r="S124" s="130"/>
      <c r="T124" s="130"/>
    </row>
    <row r="125" spans="1:20" ht="15.75">
      <c r="A125" s="393"/>
      <c r="B125" s="424"/>
      <c r="C125" s="432"/>
      <c r="D125" s="390"/>
      <c r="I125" s="425"/>
      <c r="J125" s="425"/>
      <c r="K125" s="425"/>
      <c r="L125" s="467"/>
      <c r="M125" s="467"/>
      <c r="N125" s="468"/>
      <c r="O125" s="470"/>
      <c r="P125" s="482"/>
      <c r="Q125" s="484"/>
      <c r="S125" s="130"/>
      <c r="T125" s="130"/>
    </row>
    <row r="126" spans="1:20" ht="13.5" thickBot="1">
      <c r="A126" s="393">
        <v>3</v>
      </c>
      <c r="B126" s="390"/>
      <c r="C126" s="390"/>
      <c r="D126" s="390"/>
      <c r="I126" s="425"/>
      <c r="J126" s="425"/>
      <c r="K126" s="425">
        <f>I126*J126</f>
        <v>0</v>
      </c>
      <c r="L126" s="467"/>
      <c r="M126" s="467"/>
      <c r="N126" s="468"/>
      <c r="O126" s="469"/>
      <c r="P126" s="482"/>
      <c r="Q126" s="483"/>
      <c r="S126" s="16"/>
      <c r="T126" s="16"/>
    </row>
    <row r="127" spans="1:23" ht="13.5" thickBot="1">
      <c r="A127" s="395"/>
      <c r="B127" s="388" t="s">
        <v>15</v>
      </c>
      <c r="C127" s="388"/>
      <c r="D127" s="398"/>
      <c r="E127" s="398"/>
      <c r="F127" s="398"/>
      <c r="G127" s="398"/>
      <c r="H127" s="428"/>
      <c r="I127" s="381">
        <f>SUM(I128:I143)</f>
        <v>0</v>
      </c>
      <c r="J127" s="381"/>
      <c r="K127" s="381">
        <f>SUM(K128:K143)</f>
        <v>0</v>
      </c>
      <c r="L127" s="436">
        <f>SUM(L128:L143)</f>
        <v>3.3</v>
      </c>
      <c r="M127" s="436">
        <f>SUM(M128:M143)</f>
        <v>6.666666666666665</v>
      </c>
      <c r="N127" s="471">
        <f>SUM(N128:N143)</f>
        <v>0</v>
      </c>
      <c r="O127" s="471">
        <f>SUM(O128:O143)</f>
        <v>0</v>
      </c>
      <c r="P127" s="485"/>
      <c r="Q127" s="471">
        <f>SUM(Q128:Q143)</f>
        <v>0</v>
      </c>
      <c r="R127" s="113"/>
      <c r="S127" s="17"/>
      <c r="T127" s="17"/>
      <c r="U127" s="47"/>
      <c r="V127" s="47"/>
      <c r="W127" s="47"/>
    </row>
    <row r="128" spans="1:25" ht="15.75">
      <c r="A128" s="393">
        <v>1</v>
      </c>
      <c r="B128" s="424" t="s">
        <v>443</v>
      </c>
      <c r="C128" s="390"/>
      <c r="D128" s="432"/>
      <c r="I128" s="425"/>
      <c r="J128" s="425"/>
      <c r="K128" s="425"/>
      <c r="L128" s="467"/>
      <c r="M128" s="467"/>
      <c r="N128" s="468"/>
      <c r="O128" s="469"/>
      <c r="P128" s="482"/>
      <c r="Q128" s="483"/>
      <c r="R128" s="113"/>
      <c r="S128" s="17"/>
      <c r="T128" s="17"/>
      <c r="U128" s="17"/>
      <c r="V128" s="17"/>
      <c r="W128" s="17"/>
      <c r="X128" s="16"/>
      <c r="Y128" s="16"/>
    </row>
    <row r="129" spans="1:25" ht="12.75">
      <c r="A129" s="393"/>
      <c r="B129" s="432"/>
      <c r="C129" s="390" t="s">
        <v>566</v>
      </c>
      <c r="D129" s="432"/>
      <c r="I129" s="425">
        <f>'A.RAPIDO'!K5</f>
        <v>0</v>
      </c>
      <c r="J129" s="425">
        <v>1</v>
      </c>
      <c r="K129" s="425">
        <f>J129*(I129)</f>
        <v>0</v>
      </c>
      <c r="L129" s="467">
        <f>$L$79</f>
        <v>0.09</v>
      </c>
      <c r="M129" s="467">
        <f>$C$22</f>
        <v>0.5555555555555556</v>
      </c>
      <c r="N129" s="468">
        <f>K129*L129*M129</f>
        <v>0</v>
      </c>
      <c r="O129" s="469"/>
      <c r="P129" s="482">
        <v>4</v>
      </c>
      <c r="Q129" s="483">
        <f>K129*P129</f>
        <v>0</v>
      </c>
      <c r="R129" s="487"/>
      <c r="S129" s="48"/>
      <c r="T129" s="48"/>
      <c r="U129" s="48"/>
      <c r="V129" s="48"/>
      <c r="W129" s="48"/>
      <c r="X129" s="16"/>
      <c r="Y129" s="16"/>
    </row>
    <row r="130" spans="1:25" ht="12.75">
      <c r="A130" s="393"/>
      <c r="B130" s="432"/>
      <c r="C130" s="390" t="s">
        <v>563</v>
      </c>
      <c r="D130" s="432"/>
      <c r="I130" s="425">
        <f>'A.RAPIDO'!K6</f>
        <v>0</v>
      </c>
      <c r="J130" s="425">
        <v>1</v>
      </c>
      <c r="K130" s="425">
        <f>J130*(I130)</f>
        <v>0</v>
      </c>
      <c r="L130" s="467">
        <f>$L$79</f>
        <v>0.09</v>
      </c>
      <c r="M130" s="467">
        <f>$C$22</f>
        <v>0.5555555555555556</v>
      </c>
      <c r="N130" s="468">
        <f>K130*L130*M130</f>
        <v>0</v>
      </c>
      <c r="O130" s="469"/>
      <c r="P130" s="482">
        <v>4</v>
      </c>
      <c r="Q130" s="483">
        <f>K130*P130</f>
        <v>0</v>
      </c>
      <c r="R130" s="487"/>
      <c r="S130" s="48"/>
      <c r="T130" s="48"/>
      <c r="U130" s="48"/>
      <c r="V130" s="48"/>
      <c r="W130" s="48"/>
      <c r="X130" s="16"/>
      <c r="Y130" s="16"/>
    </row>
    <row r="131" spans="1:25" ht="12.75">
      <c r="A131" s="393"/>
      <c r="B131" s="432"/>
      <c r="C131" s="432" t="s">
        <v>492</v>
      </c>
      <c r="D131" s="432"/>
      <c r="I131" s="425">
        <f>'A.RAPIDO'!K8</f>
        <v>0</v>
      </c>
      <c r="J131" s="425">
        <v>1</v>
      </c>
      <c r="K131" s="425">
        <f>J131*(I131)</f>
        <v>0</v>
      </c>
      <c r="L131" s="467">
        <f>$L$79</f>
        <v>0.09</v>
      </c>
      <c r="M131" s="467">
        <f>$C$22</f>
        <v>0.5555555555555556</v>
      </c>
      <c r="N131" s="468">
        <f>K131*L131*M131</f>
        <v>0</v>
      </c>
      <c r="O131" s="470">
        <f>N131</f>
        <v>0</v>
      </c>
      <c r="P131" s="482">
        <v>4</v>
      </c>
      <c r="Q131" s="483">
        <f>K131*P131</f>
        <v>0</v>
      </c>
      <c r="R131" s="487"/>
      <c r="S131" s="48"/>
      <c r="T131" s="48"/>
      <c r="U131" s="48"/>
      <c r="V131" s="48"/>
      <c r="W131" s="48"/>
      <c r="X131" s="16"/>
      <c r="Y131" s="16"/>
    </row>
    <row r="132" spans="1:25" ht="12.75">
      <c r="A132" s="393"/>
      <c r="B132" s="432"/>
      <c r="C132" s="432" t="s">
        <v>504</v>
      </c>
      <c r="D132" s="432"/>
      <c r="I132" s="425">
        <f>'A.RAPIDO'!K10</f>
        <v>0</v>
      </c>
      <c r="J132" s="425">
        <v>2</v>
      </c>
      <c r="K132" s="425">
        <f>J132*(I132)</f>
        <v>0</v>
      </c>
      <c r="L132" s="467">
        <f>L41</f>
        <v>0.83</v>
      </c>
      <c r="M132" s="467">
        <f>$C$15</f>
        <v>0.5555555555555556</v>
      </c>
      <c r="N132" s="468">
        <f>K132*L132*M132</f>
        <v>0</v>
      </c>
      <c r="O132" s="470">
        <f>N132</f>
        <v>0</v>
      </c>
      <c r="P132" s="482">
        <v>1</v>
      </c>
      <c r="Q132" s="483">
        <f>K132*P132</f>
        <v>0</v>
      </c>
      <c r="R132" s="487"/>
      <c r="S132" s="48"/>
      <c r="T132" s="48"/>
      <c r="U132" s="48"/>
      <c r="V132" s="48"/>
      <c r="W132" s="48"/>
      <c r="X132" s="16"/>
      <c r="Y132" s="16"/>
    </row>
    <row r="133" spans="1:25" ht="15.75">
      <c r="A133" s="393">
        <v>2</v>
      </c>
      <c r="B133" s="424" t="s">
        <v>444</v>
      </c>
      <c r="C133" s="390"/>
      <c r="D133" s="390"/>
      <c r="I133" s="425"/>
      <c r="J133" s="425"/>
      <c r="K133" s="425"/>
      <c r="L133" s="467"/>
      <c r="M133" s="467"/>
      <c r="N133" s="468"/>
      <c r="O133" s="469"/>
      <c r="P133" s="482"/>
      <c r="Q133" s="483"/>
      <c r="R133" s="487"/>
      <c r="S133" s="48"/>
      <c r="T133" s="48"/>
      <c r="U133" s="49"/>
      <c r="V133" s="48"/>
      <c r="W133" s="48"/>
      <c r="X133" s="16"/>
      <c r="Y133" s="16"/>
    </row>
    <row r="134" spans="1:25" ht="15.75">
      <c r="A134" s="393"/>
      <c r="B134" s="424"/>
      <c r="C134" s="390" t="s">
        <v>576</v>
      </c>
      <c r="D134" s="390"/>
      <c r="I134" s="425">
        <f>'A.RAPIDO'!K16</f>
        <v>0</v>
      </c>
      <c r="J134" s="425">
        <v>1</v>
      </c>
      <c r="K134" s="425">
        <f aca="true" t="shared" si="28" ref="K134:K141">J134*(I134)</f>
        <v>0</v>
      </c>
      <c r="L134" s="467">
        <f>$L$79</f>
        <v>0.09</v>
      </c>
      <c r="M134" s="467">
        <f>M129</f>
        <v>0.5555555555555556</v>
      </c>
      <c r="N134" s="468">
        <f aca="true" t="shared" si="29" ref="N134:N141">K134*L134*M134</f>
        <v>0</v>
      </c>
      <c r="O134" s="469"/>
      <c r="P134" s="482">
        <v>4</v>
      </c>
      <c r="Q134" s="483">
        <f aca="true" t="shared" si="30" ref="Q134:Q141">K134*P134</f>
        <v>0</v>
      </c>
      <c r="R134" s="487"/>
      <c r="S134" s="48"/>
      <c r="T134" s="48"/>
      <c r="U134" s="49"/>
      <c r="V134" s="48"/>
      <c r="W134" s="48"/>
      <c r="X134" s="16"/>
      <c r="Y134" s="16"/>
    </row>
    <row r="135" spans="1:25" ht="15.75">
      <c r="A135" s="393"/>
      <c r="B135" s="424"/>
      <c r="C135" s="390" t="s">
        <v>563</v>
      </c>
      <c r="D135" s="390"/>
      <c r="I135" s="425">
        <f>'A.RAPIDO'!K17</f>
        <v>0</v>
      </c>
      <c r="J135" s="425">
        <v>1</v>
      </c>
      <c r="K135" s="425">
        <f t="shared" si="28"/>
        <v>0</v>
      </c>
      <c r="L135" s="467">
        <f>$L$79</f>
        <v>0.09</v>
      </c>
      <c r="M135" s="467">
        <f>M130</f>
        <v>0.5555555555555556</v>
      </c>
      <c r="N135" s="468">
        <f t="shared" si="29"/>
        <v>0</v>
      </c>
      <c r="O135" s="469"/>
      <c r="P135" s="482">
        <v>4</v>
      </c>
      <c r="Q135" s="483">
        <f t="shared" si="30"/>
        <v>0</v>
      </c>
      <c r="R135" s="487"/>
      <c r="S135" s="48"/>
      <c r="T135" s="48"/>
      <c r="U135" s="49"/>
      <c r="V135" s="48"/>
      <c r="W135" s="48"/>
      <c r="X135" s="16"/>
      <c r="Y135" s="16"/>
    </row>
    <row r="136" spans="1:25" ht="15.75">
      <c r="A136" s="393"/>
      <c r="B136" s="424"/>
      <c r="C136" s="432" t="s">
        <v>492</v>
      </c>
      <c r="D136" s="390"/>
      <c r="I136" s="425">
        <f>'A.RAPIDO'!K19</f>
        <v>0</v>
      </c>
      <c r="J136" s="425">
        <v>1</v>
      </c>
      <c r="K136" s="425">
        <f t="shared" si="28"/>
        <v>0</v>
      </c>
      <c r="L136" s="467">
        <f>$L$79</f>
        <v>0.09</v>
      </c>
      <c r="M136" s="467">
        <f>M131</f>
        <v>0.5555555555555556</v>
      </c>
      <c r="N136" s="468">
        <f t="shared" si="29"/>
        <v>0</v>
      </c>
      <c r="O136" s="470">
        <f>N136</f>
        <v>0</v>
      </c>
      <c r="P136" s="482">
        <v>4</v>
      </c>
      <c r="Q136" s="483">
        <f t="shared" si="30"/>
        <v>0</v>
      </c>
      <c r="R136" s="487"/>
      <c r="S136" s="48"/>
      <c r="T136" s="48"/>
      <c r="U136" s="49"/>
      <c r="V136" s="48"/>
      <c r="W136" s="48"/>
      <c r="X136" s="16"/>
      <c r="Y136" s="16"/>
    </row>
    <row r="137" spans="1:25" ht="15.75">
      <c r="A137" s="393"/>
      <c r="B137" s="424"/>
      <c r="C137" s="432" t="s">
        <v>504</v>
      </c>
      <c r="D137" s="390"/>
      <c r="I137" s="425">
        <f>'A.RAPIDO'!K21</f>
        <v>0</v>
      </c>
      <c r="J137" s="425">
        <v>2</v>
      </c>
      <c r="K137" s="425">
        <f t="shared" si="28"/>
        <v>0</v>
      </c>
      <c r="L137" s="467">
        <f>L132</f>
        <v>0.83</v>
      </c>
      <c r="M137" s="467">
        <f>$C$15</f>
        <v>0.5555555555555556</v>
      </c>
      <c r="N137" s="468">
        <f t="shared" si="29"/>
        <v>0</v>
      </c>
      <c r="O137" s="470">
        <f>N137</f>
        <v>0</v>
      </c>
      <c r="P137" s="482">
        <v>1</v>
      </c>
      <c r="Q137" s="483">
        <f t="shared" si="30"/>
        <v>0</v>
      </c>
      <c r="R137" s="487"/>
      <c r="S137" s="48"/>
      <c r="T137" s="48"/>
      <c r="U137" s="49"/>
      <c r="V137" s="48"/>
      <c r="W137" s="48"/>
      <c r="X137" s="16"/>
      <c r="Y137" s="16"/>
    </row>
    <row r="138" spans="1:25" ht="15.75">
      <c r="A138" s="393"/>
      <c r="B138" s="424"/>
      <c r="C138" s="111" t="s">
        <v>576</v>
      </c>
      <c r="D138" s="390"/>
      <c r="I138" s="425">
        <f>'A.RAPIDO'!L16</f>
        <v>0</v>
      </c>
      <c r="J138" s="425">
        <v>1</v>
      </c>
      <c r="K138" s="425">
        <f t="shared" si="28"/>
        <v>0</v>
      </c>
      <c r="L138" s="467">
        <f>$L$79</f>
        <v>0.09</v>
      </c>
      <c r="M138" s="467">
        <f>M134</f>
        <v>0.5555555555555556</v>
      </c>
      <c r="N138" s="468">
        <f t="shared" si="29"/>
        <v>0</v>
      </c>
      <c r="O138" s="469"/>
      <c r="P138" s="482">
        <v>4</v>
      </c>
      <c r="Q138" s="483">
        <f t="shared" si="30"/>
        <v>0</v>
      </c>
      <c r="R138" s="487"/>
      <c r="S138" s="48"/>
      <c r="T138" s="48"/>
      <c r="U138" s="49"/>
      <c r="V138" s="48"/>
      <c r="W138" s="48"/>
      <c r="X138" s="16"/>
      <c r="Y138" s="16"/>
    </row>
    <row r="139" spans="1:25" ht="15.75">
      <c r="A139" s="393"/>
      <c r="B139" s="424"/>
      <c r="C139" s="111" t="s">
        <v>563</v>
      </c>
      <c r="D139" s="390"/>
      <c r="I139" s="425">
        <f>'A.RAPIDO'!L17</f>
        <v>0</v>
      </c>
      <c r="J139" s="425">
        <v>1</v>
      </c>
      <c r="K139" s="425">
        <f t="shared" si="28"/>
        <v>0</v>
      </c>
      <c r="L139" s="467">
        <f>$L$79</f>
        <v>0.09</v>
      </c>
      <c r="M139" s="467">
        <f>M135</f>
        <v>0.5555555555555556</v>
      </c>
      <c r="N139" s="468">
        <f t="shared" si="29"/>
        <v>0</v>
      </c>
      <c r="O139" s="469"/>
      <c r="P139" s="482">
        <v>4</v>
      </c>
      <c r="Q139" s="483">
        <f t="shared" si="30"/>
        <v>0</v>
      </c>
      <c r="R139" s="487"/>
      <c r="S139" s="48"/>
      <c r="T139" s="48"/>
      <c r="U139" s="49"/>
      <c r="V139" s="48"/>
      <c r="W139" s="48"/>
      <c r="X139" s="16"/>
      <c r="Y139" s="16"/>
    </row>
    <row r="140" spans="1:25" ht="15.75">
      <c r="A140" s="393"/>
      <c r="B140" s="424"/>
      <c r="C140" s="111" t="s">
        <v>492</v>
      </c>
      <c r="D140" s="390"/>
      <c r="I140" s="425">
        <f>'A.RAPIDO'!L19</f>
        <v>0</v>
      </c>
      <c r="J140" s="425">
        <v>1</v>
      </c>
      <c r="K140" s="425">
        <f t="shared" si="28"/>
        <v>0</v>
      </c>
      <c r="L140" s="467">
        <f>$L$79</f>
        <v>0.09</v>
      </c>
      <c r="M140" s="467">
        <f>M136</f>
        <v>0.5555555555555556</v>
      </c>
      <c r="N140" s="468">
        <f t="shared" si="29"/>
        <v>0</v>
      </c>
      <c r="O140" s="470">
        <f>N140</f>
        <v>0</v>
      </c>
      <c r="P140" s="482">
        <v>4</v>
      </c>
      <c r="Q140" s="483">
        <f t="shared" si="30"/>
        <v>0</v>
      </c>
      <c r="R140" s="487"/>
      <c r="S140" s="48"/>
      <c r="T140" s="48"/>
      <c r="U140" s="49"/>
      <c r="V140" s="48"/>
      <c r="W140" s="48"/>
      <c r="X140" s="16"/>
      <c r="Y140" s="16"/>
    </row>
    <row r="141" spans="1:25" ht="15.75">
      <c r="A141" s="393"/>
      <c r="B141" s="424"/>
      <c r="C141" s="111" t="s">
        <v>504</v>
      </c>
      <c r="D141" s="390"/>
      <c r="I141" s="425">
        <f>'A.RAPIDO'!L21</f>
        <v>0</v>
      </c>
      <c r="J141" s="425">
        <v>3</v>
      </c>
      <c r="K141" s="425">
        <f t="shared" si="28"/>
        <v>0</v>
      </c>
      <c r="L141" s="467">
        <f>L132</f>
        <v>0.83</v>
      </c>
      <c r="M141" s="467">
        <f>M137</f>
        <v>0.5555555555555556</v>
      </c>
      <c r="N141" s="468">
        <f t="shared" si="29"/>
        <v>0</v>
      </c>
      <c r="O141" s="470">
        <f>N141</f>
        <v>0</v>
      </c>
      <c r="P141" s="482">
        <v>1</v>
      </c>
      <c r="Q141" s="483">
        <f t="shared" si="30"/>
        <v>0</v>
      </c>
      <c r="R141" s="487"/>
      <c r="S141" s="48"/>
      <c r="T141" s="48"/>
      <c r="U141" s="49"/>
      <c r="V141" s="48"/>
      <c r="W141" s="48"/>
      <c r="X141" s="16"/>
      <c r="Y141" s="16"/>
    </row>
    <row r="142" spans="1:25" ht="15.75">
      <c r="A142" s="393"/>
      <c r="B142" s="424"/>
      <c r="C142" s="390"/>
      <c r="D142" s="390"/>
      <c r="I142" s="425"/>
      <c r="J142" s="425"/>
      <c r="K142" s="425"/>
      <c r="L142" s="467"/>
      <c r="M142" s="467"/>
      <c r="N142" s="468"/>
      <c r="O142" s="469"/>
      <c r="P142" s="482"/>
      <c r="Q142" s="483"/>
      <c r="R142" s="487"/>
      <c r="S142" s="48"/>
      <c r="T142" s="48"/>
      <c r="U142" s="49"/>
      <c r="V142" s="48"/>
      <c r="W142" s="48"/>
      <c r="X142" s="16"/>
      <c r="Y142" s="16"/>
    </row>
    <row r="143" spans="1:25" ht="13.5" thickBot="1">
      <c r="A143" s="393">
        <v>3</v>
      </c>
      <c r="B143" s="390"/>
      <c r="C143" s="390"/>
      <c r="D143" s="390"/>
      <c r="I143" s="425"/>
      <c r="J143" s="425"/>
      <c r="K143" s="425">
        <f>J143*(I143)</f>
        <v>0</v>
      </c>
      <c r="L143" s="467"/>
      <c r="M143" s="467"/>
      <c r="N143" s="468"/>
      <c r="O143" s="469"/>
      <c r="P143" s="482"/>
      <c r="Q143" s="483"/>
      <c r="R143" s="487"/>
      <c r="S143" s="48"/>
      <c r="T143" s="48"/>
      <c r="U143" s="48"/>
      <c r="V143" s="48"/>
      <c r="W143" s="48"/>
      <c r="X143" s="16"/>
      <c r="Y143" s="16"/>
    </row>
    <row r="144" spans="1:25" ht="13.5" thickBot="1">
      <c r="A144" s="389"/>
      <c r="B144" s="388" t="s">
        <v>16</v>
      </c>
      <c r="C144" s="398"/>
      <c r="D144" s="398"/>
      <c r="E144" s="398"/>
      <c r="F144" s="398"/>
      <c r="G144" s="398"/>
      <c r="H144" s="428"/>
      <c r="I144" s="381">
        <f>SUM(I145:I154)</f>
        <v>0</v>
      </c>
      <c r="J144" s="381"/>
      <c r="K144" s="381">
        <f>SUM(K145:K154)</f>
        <v>0</v>
      </c>
      <c r="L144" s="436">
        <f>SUM(L145:L154)</f>
        <v>6.4</v>
      </c>
      <c r="M144" s="436">
        <f>SUM(M145:M154)</f>
        <v>4.444444444444444</v>
      </c>
      <c r="N144" s="471">
        <f>SUM(N145:N154)</f>
        <v>0</v>
      </c>
      <c r="O144" s="471">
        <f>SUM(O145:O154)</f>
        <v>0</v>
      </c>
      <c r="P144" s="485"/>
      <c r="Q144" s="471">
        <f>SUM(Q145:Q154)</f>
        <v>0</v>
      </c>
      <c r="R144" s="487"/>
      <c r="S144" s="48"/>
      <c r="T144" s="48"/>
      <c r="U144" s="48"/>
      <c r="V144" s="48"/>
      <c r="W144" s="48"/>
      <c r="X144" s="16"/>
      <c r="Y144" s="16"/>
    </row>
    <row r="145" spans="1:25" ht="15.75">
      <c r="A145" s="393">
        <v>1</v>
      </c>
      <c r="B145" s="424" t="s">
        <v>447</v>
      </c>
      <c r="C145" s="390"/>
      <c r="D145" s="390"/>
      <c r="I145" s="425"/>
      <c r="J145" s="425"/>
      <c r="K145" s="425"/>
      <c r="L145" s="467"/>
      <c r="M145" s="467"/>
      <c r="N145" s="472"/>
      <c r="O145" s="469"/>
      <c r="P145" s="482"/>
      <c r="Q145" s="483"/>
      <c r="R145" s="487"/>
      <c r="S145" s="48"/>
      <c r="T145" s="48"/>
      <c r="U145" s="48"/>
      <c r="V145" s="48"/>
      <c r="W145" s="48"/>
      <c r="X145" s="16"/>
      <c r="Y145" s="16"/>
    </row>
    <row r="146" spans="1:25" ht="12.75">
      <c r="A146" s="393"/>
      <c r="B146" s="390"/>
      <c r="C146" s="390" t="s">
        <v>537</v>
      </c>
      <c r="D146" s="390"/>
      <c r="I146" s="425">
        <f>'A.PESADO'!K5</f>
        <v>0</v>
      </c>
      <c r="J146" s="425">
        <v>1</v>
      </c>
      <c r="K146" s="425">
        <f aca="true" t="shared" si="31" ref="K146:K154">J146*(I146)</f>
        <v>0</v>
      </c>
      <c r="L146" s="467">
        <f>$L$74</f>
        <v>0.09</v>
      </c>
      <c r="M146" s="468">
        <f>$C$22</f>
        <v>0.5555555555555556</v>
      </c>
      <c r="N146" s="425">
        <f aca="true" t="shared" si="32" ref="N146:N153">K146*L146*M146</f>
        <v>0</v>
      </c>
      <c r="O146" s="469"/>
      <c r="P146" s="482">
        <v>4</v>
      </c>
      <c r="Q146" s="483">
        <f aca="true" t="shared" si="33" ref="Q146:Q153">K146*P146</f>
        <v>0</v>
      </c>
      <c r="R146" s="488"/>
      <c r="S146" s="48"/>
      <c r="T146" s="48"/>
      <c r="U146" s="48"/>
      <c r="V146" s="48"/>
      <c r="W146" s="48"/>
      <c r="X146" s="16"/>
      <c r="Y146" s="16"/>
    </row>
    <row r="147" spans="1:25" ht="12.75">
      <c r="A147" s="393"/>
      <c r="B147" s="390"/>
      <c r="C147" s="390" t="s">
        <v>536</v>
      </c>
      <c r="D147" s="390"/>
      <c r="I147" s="425">
        <f>'A.PESADO'!K6</f>
        <v>0</v>
      </c>
      <c r="J147" s="425">
        <v>1</v>
      </c>
      <c r="K147" s="425">
        <f t="shared" si="31"/>
        <v>0</v>
      </c>
      <c r="L147" s="467">
        <f>$L$74</f>
        <v>0.09</v>
      </c>
      <c r="M147" s="468">
        <f>$C$22</f>
        <v>0.5555555555555556</v>
      </c>
      <c r="N147" s="425">
        <f t="shared" si="32"/>
        <v>0</v>
      </c>
      <c r="O147" s="469"/>
      <c r="P147" s="482">
        <v>4</v>
      </c>
      <c r="Q147" s="483">
        <f t="shared" si="33"/>
        <v>0</v>
      </c>
      <c r="R147" s="487"/>
      <c r="S147" s="48"/>
      <c r="T147" s="48"/>
      <c r="U147" s="50"/>
      <c r="V147" s="48"/>
      <c r="W147" s="48"/>
      <c r="X147" s="16"/>
      <c r="Y147" s="16"/>
    </row>
    <row r="148" spans="1:25" ht="12.75">
      <c r="A148" s="393"/>
      <c r="B148" s="390"/>
      <c r="C148" s="368" t="s">
        <v>535</v>
      </c>
      <c r="D148" s="390"/>
      <c r="I148" s="425">
        <f>'A.PESADO'!K8</f>
        <v>0</v>
      </c>
      <c r="J148" s="425">
        <v>1</v>
      </c>
      <c r="K148" s="425">
        <f t="shared" si="31"/>
        <v>0</v>
      </c>
      <c r="L148" s="467">
        <f>$L$74</f>
        <v>0.09</v>
      </c>
      <c r="M148" s="468">
        <f>$C$22</f>
        <v>0.5555555555555556</v>
      </c>
      <c r="N148" s="425">
        <f t="shared" si="32"/>
        <v>0</v>
      </c>
      <c r="O148" s="469"/>
      <c r="P148" s="482">
        <v>4</v>
      </c>
      <c r="Q148" s="483">
        <f t="shared" si="33"/>
        <v>0</v>
      </c>
      <c r="R148" s="487"/>
      <c r="S148" s="48"/>
      <c r="T148" s="48"/>
      <c r="U148" s="50"/>
      <c r="V148" s="48"/>
      <c r="W148" s="48"/>
      <c r="X148" s="16"/>
      <c r="Y148" s="16"/>
    </row>
    <row r="149" spans="1:25" ht="12.75">
      <c r="A149" s="393"/>
      <c r="B149" s="390"/>
      <c r="C149" s="432" t="s">
        <v>492</v>
      </c>
      <c r="D149" s="390"/>
      <c r="I149" s="425">
        <f>'A.PESADO'!K12</f>
        <v>0</v>
      </c>
      <c r="J149" s="425">
        <v>1</v>
      </c>
      <c r="K149" s="425">
        <f t="shared" si="31"/>
        <v>0</v>
      </c>
      <c r="L149" s="467">
        <f>$L$74</f>
        <v>0.09</v>
      </c>
      <c r="M149" s="468">
        <f>$C$22</f>
        <v>0.5555555555555556</v>
      </c>
      <c r="N149" s="425">
        <f t="shared" si="32"/>
        <v>0</v>
      </c>
      <c r="O149" s="469">
        <f>N149</f>
        <v>0</v>
      </c>
      <c r="P149" s="482">
        <v>4</v>
      </c>
      <c r="Q149" s="483">
        <f t="shared" si="33"/>
        <v>0</v>
      </c>
      <c r="R149" s="487"/>
      <c r="S149" s="48"/>
      <c r="T149" s="48"/>
      <c r="U149" s="50"/>
      <c r="V149" s="48"/>
      <c r="W149" s="48"/>
      <c r="X149" s="16"/>
      <c r="Y149" s="16"/>
    </row>
    <row r="150" spans="1:25" ht="12.75">
      <c r="A150" s="393"/>
      <c r="B150" s="390"/>
      <c r="C150" s="432" t="s">
        <v>504</v>
      </c>
      <c r="D150" s="390"/>
      <c r="I150" s="425">
        <f>'A.PESADO'!K14</f>
        <v>0</v>
      </c>
      <c r="J150" s="425">
        <v>2</v>
      </c>
      <c r="K150" s="425">
        <f t="shared" si="31"/>
        <v>0</v>
      </c>
      <c r="L150" s="467">
        <f>L141</f>
        <v>0.83</v>
      </c>
      <c r="M150" s="468">
        <f>$C$15</f>
        <v>0.5555555555555556</v>
      </c>
      <c r="N150" s="425">
        <f t="shared" si="32"/>
        <v>0</v>
      </c>
      <c r="O150" s="469">
        <f>N150</f>
        <v>0</v>
      </c>
      <c r="P150" s="482">
        <v>1</v>
      </c>
      <c r="Q150" s="483">
        <f t="shared" si="33"/>
        <v>0</v>
      </c>
      <c r="R150" s="487"/>
      <c r="S150" s="48"/>
      <c r="T150" s="48"/>
      <c r="U150" s="50"/>
      <c r="V150" s="48"/>
      <c r="W150" s="48"/>
      <c r="X150" s="16"/>
      <c r="Y150" s="16"/>
    </row>
    <row r="151" spans="1:25" ht="12.75">
      <c r="A151" s="393"/>
      <c r="B151" s="390"/>
      <c r="C151" s="432" t="s">
        <v>266</v>
      </c>
      <c r="D151" s="390"/>
      <c r="I151" s="425">
        <f>'A.PESADO'!K10</f>
        <v>0</v>
      </c>
      <c r="J151" s="425">
        <v>1</v>
      </c>
      <c r="K151" s="425">
        <f t="shared" si="31"/>
        <v>0</v>
      </c>
      <c r="L151" s="467">
        <f>$L$74</f>
        <v>0.09</v>
      </c>
      <c r="M151" s="468">
        <f>M149</f>
        <v>0.5555555555555556</v>
      </c>
      <c r="N151" s="425">
        <f t="shared" si="32"/>
        <v>0</v>
      </c>
      <c r="O151" s="469">
        <f>N151</f>
        <v>0</v>
      </c>
      <c r="P151" s="482">
        <v>4</v>
      </c>
      <c r="Q151" s="483">
        <f t="shared" si="33"/>
        <v>0</v>
      </c>
      <c r="R151" s="487"/>
      <c r="S151" s="48"/>
      <c r="T151" s="48"/>
      <c r="U151" s="50"/>
      <c r="V151" s="48"/>
      <c r="W151" s="48"/>
      <c r="X151" s="16"/>
      <c r="Y151" s="16"/>
    </row>
    <row r="152" spans="1:25" ht="12.75">
      <c r="A152" s="393"/>
      <c r="B152" s="390"/>
      <c r="C152" s="432" t="s">
        <v>583</v>
      </c>
      <c r="D152" s="390"/>
      <c r="I152" s="425">
        <f>'CUARTEL GENERAL'!K94+'CUARTEL GENERAL'!K95+'CUARTEL GENERAL'!K98+'CUARTEL GENERAL'!K99+'CUARTEL GENERAL'!L94+'CUARTEL GENERAL'!L95+'CUARTEL GENERAL'!L98+'CUARTEL GENERAL'!L99+LINEA!K7+LINEA!K9+LINEA!K11+ELITE!K37+ELITE!K39+ELITE!K41+ELITE!K47+ELITE!K49+ELITE!K51+ELITE!K53+ELITE!K57+ELITE!K59+'A.RAPIDO'!K7+'A.RAPIDO'!K9+'A.RAPIDO'!K18+'A.RAPIDO'!K20+'A.RAPIDO'!L18+'A.RAPIDO'!L20+'A.PESADO'!K7+'A.PESADO'!K9+'A.PESADO'!K11+'A.PESADO'!K13+'A.PESADO'!K15+'A.RAPIDO'!K11+'A.RAPIDO'!K22+'A.RAPIDO'!L22+ELITE!K43+ELITE!K55+ELITE!K61+LINEA!K13+'CUARTEL GENERAL'!K101+'CUARTEL GENERAL'!L101</f>
        <v>0</v>
      </c>
      <c r="J152" s="425">
        <v>1</v>
      </c>
      <c r="K152" s="425">
        <f t="shared" si="31"/>
        <v>0</v>
      </c>
      <c r="L152" s="467">
        <f>M12</f>
        <v>2.56</v>
      </c>
      <c r="M152" s="468">
        <f>C22</f>
        <v>0.5555555555555556</v>
      </c>
      <c r="N152" s="425">
        <f t="shared" si="32"/>
        <v>0</v>
      </c>
      <c r="O152" s="469"/>
      <c r="P152" s="482">
        <v>4</v>
      </c>
      <c r="Q152" s="483">
        <f t="shared" si="33"/>
        <v>0</v>
      </c>
      <c r="R152" s="487"/>
      <c r="S152" s="48"/>
      <c r="T152" s="48"/>
      <c r="U152" s="50"/>
      <c r="V152" s="48"/>
      <c r="W152" s="48"/>
      <c r="X152" s="16"/>
      <c r="Y152" s="16"/>
    </row>
    <row r="153" spans="1:25" ht="12.75">
      <c r="A153" s="393"/>
      <c r="B153" s="390"/>
      <c r="C153" s="432" t="s">
        <v>584</v>
      </c>
      <c r="D153" s="390"/>
      <c r="I153" s="425">
        <f>'CUARTEL GENERAL'!K28+'CUARTEL GENERAL'!K30+'CUARTEL GENERAL'!K34+'CUARTEL GENERAL'!K36+'CUARTEL GENERAL'!L28+'CUARTEL GENERAL'!L30+'CUARTEL GENERAL'!L34+'CUARTEL GENERAL'!L36+'CUARTEL GENERAL'!K41+'CUARTEL GENERAL'!L41+'CUARTEL GENERAL'!K58+'CUARTEL GENERAL'!L58+'CUARTEL GENERAL'!K74+'CUARTEL GENERAL'!L74+'CUARTEL GENERAL'!K32+'CUARTEL GENERAL'!L32+'CUARTEL GENERAL'!K38+'CUARTEL GENERAL'!L38+'CUARTEL GENERAL'!K43+'CUARTEL GENERAL'!L43+'CUARTEL GENERAL'!K60+'CUARTEL GENERAL'!L60</f>
        <v>0</v>
      </c>
      <c r="J153" s="425">
        <v>1</v>
      </c>
      <c r="K153" s="425">
        <f t="shared" si="31"/>
        <v>0</v>
      </c>
      <c r="L153" s="467">
        <f>L152</f>
        <v>2.56</v>
      </c>
      <c r="M153" s="468">
        <f>C22</f>
        <v>0.5555555555555556</v>
      </c>
      <c r="N153" s="425">
        <f t="shared" si="32"/>
        <v>0</v>
      </c>
      <c r="O153" s="469"/>
      <c r="P153" s="482">
        <v>5</v>
      </c>
      <c r="Q153" s="483">
        <f t="shared" si="33"/>
        <v>0</v>
      </c>
      <c r="R153" s="487"/>
      <c r="S153" s="48"/>
      <c r="T153" s="48"/>
      <c r="U153" s="50"/>
      <c r="V153" s="48"/>
      <c r="W153" s="48"/>
      <c r="X153" s="16"/>
      <c r="Y153" s="16"/>
    </row>
    <row r="154" spans="1:25" ht="13.5" thickBot="1">
      <c r="A154" s="393">
        <v>3</v>
      </c>
      <c r="B154" s="390"/>
      <c r="C154" s="390"/>
      <c r="D154" s="390"/>
      <c r="I154" s="425"/>
      <c r="J154" s="425"/>
      <c r="K154" s="425">
        <f t="shared" si="31"/>
        <v>0</v>
      </c>
      <c r="L154" s="467"/>
      <c r="M154" s="467"/>
      <c r="N154" s="473"/>
      <c r="O154" s="469"/>
      <c r="P154" s="482"/>
      <c r="Q154" s="483"/>
      <c r="R154" s="487"/>
      <c r="S154" s="48"/>
      <c r="T154" s="48"/>
      <c r="U154" s="50"/>
      <c r="V154" s="48"/>
      <c r="W154" s="48"/>
      <c r="X154" s="16"/>
      <c r="Y154" s="16"/>
    </row>
    <row r="155" spans="1:25" ht="13.5" thickBot="1">
      <c r="A155" s="389"/>
      <c r="B155" s="388" t="s">
        <v>18</v>
      </c>
      <c r="C155" s="398"/>
      <c r="D155" s="398"/>
      <c r="E155" s="398"/>
      <c r="F155" s="398"/>
      <c r="G155" s="398"/>
      <c r="H155" s="428"/>
      <c r="I155" s="381">
        <f>SUM(I156:I161)</f>
        <v>0</v>
      </c>
      <c r="J155" s="381"/>
      <c r="K155" s="381">
        <f>SUM(K156:K161)</f>
        <v>0</v>
      </c>
      <c r="L155" s="436">
        <f>SUM(L156:L161)</f>
        <v>0</v>
      </c>
      <c r="M155" s="436">
        <f>SUM(M156:M161)</f>
        <v>0</v>
      </c>
      <c r="N155" s="471">
        <f>SUM(N156:N161)</f>
        <v>0</v>
      </c>
      <c r="O155" s="471">
        <f>SUM(O156:O161)</f>
        <v>0</v>
      </c>
      <c r="P155" s="485"/>
      <c r="Q155" s="471">
        <f>SUM(Q156:Q161)</f>
        <v>0</v>
      </c>
      <c r="R155" s="487"/>
      <c r="S155" s="48"/>
      <c r="T155" s="48"/>
      <c r="U155" s="50"/>
      <c r="V155" s="48"/>
      <c r="W155" s="48"/>
      <c r="X155" s="16"/>
      <c r="Y155" s="16"/>
    </row>
    <row r="156" spans="1:25" ht="12.75">
      <c r="A156" s="393">
        <v>1</v>
      </c>
      <c r="B156" s="111"/>
      <c r="C156" s="390"/>
      <c r="D156" s="390"/>
      <c r="H156" s="415"/>
      <c r="I156" s="425"/>
      <c r="J156" s="425"/>
      <c r="K156" s="425">
        <f aca="true" t="shared" si="34" ref="K156:K162">J156*(I156)</f>
        <v>0</v>
      </c>
      <c r="L156" s="467"/>
      <c r="M156" s="467"/>
      <c r="N156" s="468"/>
      <c r="O156" s="469"/>
      <c r="P156" s="482"/>
      <c r="Q156" s="489"/>
      <c r="R156" s="490"/>
      <c r="S156" s="48"/>
      <c r="T156" s="48"/>
      <c r="U156" s="16"/>
      <c r="V156" s="48"/>
      <c r="W156" s="48"/>
      <c r="X156" s="16"/>
      <c r="Y156" s="16"/>
    </row>
    <row r="157" spans="1:25" ht="12.75">
      <c r="A157" s="393">
        <v>2</v>
      </c>
      <c r="B157" s="111"/>
      <c r="C157" s="390"/>
      <c r="D157" s="390"/>
      <c r="H157" s="415"/>
      <c r="I157" s="425"/>
      <c r="J157" s="425"/>
      <c r="K157" s="425">
        <f t="shared" si="34"/>
        <v>0</v>
      </c>
      <c r="L157" s="467"/>
      <c r="M157" s="467"/>
      <c r="N157" s="468"/>
      <c r="O157" s="469"/>
      <c r="P157" s="482"/>
      <c r="Q157" s="483"/>
      <c r="R157" s="487"/>
      <c r="S157" s="48"/>
      <c r="T157" s="48"/>
      <c r="U157" s="50"/>
      <c r="V157" s="48"/>
      <c r="W157" s="48"/>
      <c r="X157" s="16"/>
      <c r="Y157" s="16"/>
    </row>
    <row r="158" spans="1:25" ht="12.75">
      <c r="A158" s="393">
        <v>3</v>
      </c>
      <c r="B158" s="111"/>
      <c r="C158" s="432"/>
      <c r="D158" s="390"/>
      <c r="I158" s="425"/>
      <c r="J158" s="425"/>
      <c r="K158" s="425">
        <f t="shared" si="34"/>
        <v>0</v>
      </c>
      <c r="L158" s="467"/>
      <c r="M158" s="467"/>
      <c r="N158" s="468"/>
      <c r="O158" s="469"/>
      <c r="P158" s="482"/>
      <c r="Q158" s="483"/>
      <c r="R158" s="487"/>
      <c r="S158" s="48"/>
      <c r="T158" s="48"/>
      <c r="U158" s="50"/>
      <c r="V158" s="48"/>
      <c r="W158" s="48"/>
      <c r="X158" s="16"/>
      <c r="Y158" s="16"/>
    </row>
    <row r="159" spans="1:25" ht="12.75">
      <c r="A159" s="393">
        <v>4</v>
      </c>
      <c r="B159" s="111"/>
      <c r="C159" s="390"/>
      <c r="D159" s="390"/>
      <c r="I159" s="425"/>
      <c r="J159" s="425"/>
      <c r="K159" s="425">
        <f t="shared" si="34"/>
        <v>0</v>
      </c>
      <c r="L159" s="467"/>
      <c r="M159" s="467"/>
      <c r="N159" s="468"/>
      <c r="O159" s="469"/>
      <c r="P159" s="482"/>
      <c r="Q159" s="483"/>
      <c r="R159" s="487"/>
      <c r="S159" s="48"/>
      <c r="T159" s="48"/>
      <c r="U159" s="50"/>
      <c r="V159" s="48"/>
      <c r="W159" s="48"/>
      <c r="X159" s="16"/>
      <c r="Y159" s="16"/>
    </row>
    <row r="160" spans="1:25" ht="12.75">
      <c r="A160" s="393">
        <v>5</v>
      </c>
      <c r="B160" s="111"/>
      <c r="C160" s="390"/>
      <c r="D160" s="390"/>
      <c r="I160" s="425"/>
      <c r="J160" s="425"/>
      <c r="K160" s="425">
        <f t="shared" si="34"/>
        <v>0</v>
      </c>
      <c r="L160" s="467"/>
      <c r="M160" s="467"/>
      <c r="N160" s="468"/>
      <c r="O160" s="469"/>
      <c r="P160" s="482"/>
      <c r="Q160" s="483"/>
      <c r="R160" s="487"/>
      <c r="S160" s="48"/>
      <c r="T160" s="48"/>
      <c r="U160" s="50"/>
      <c r="V160" s="48"/>
      <c r="W160" s="48"/>
      <c r="X160" s="16"/>
      <c r="Y160" s="16"/>
    </row>
    <row r="161" spans="1:25" ht="12.75">
      <c r="A161" s="393">
        <v>6</v>
      </c>
      <c r="B161" s="111"/>
      <c r="C161" s="390"/>
      <c r="D161" s="390"/>
      <c r="I161" s="425"/>
      <c r="J161" s="425"/>
      <c r="K161" s="425">
        <f t="shared" si="34"/>
        <v>0</v>
      </c>
      <c r="L161" s="467"/>
      <c r="M161" s="467"/>
      <c r="N161" s="468"/>
      <c r="O161" s="469"/>
      <c r="P161" s="482"/>
      <c r="Q161" s="483"/>
      <c r="R161" s="487"/>
      <c r="S161" s="48"/>
      <c r="T161" s="48"/>
      <c r="U161" s="50"/>
      <c r="V161" s="48"/>
      <c r="W161" s="48"/>
      <c r="X161" s="16"/>
      <c r="Y161" s="16"/>
    </row>
    <row r="162" spans="1:25" ht="13.5" thickBot="1">
      <c r="A162" s="394"/>
      <c r="B162" s="111"/>
      <c r="C162" s="390"/>
      <c r="D162" s="390"/>
      <c r="I162" s="425"/>
      <c r="J162" s="425"/>
      <c r="K162" s="425">
        <f t="shared" si="34"/>
        <v>0</v>
      </c>
      <c r="L162" s="467"/>
      <c r="M162" s="467"/>
      <c r="N162" s="468"/>
      <c r="O162" s="469"/>
      <c r="P162" s="482"/>
      <c r="Q162" s="483"/>
      <c r="R162" s="487"/>
      <c r="S162" s="48"/>
      <c r="T162" s="48"/>
      <c r="U162" s="50"/>
      <c r="V162" s="48"/>
      <c r="W162" s="48"/>
      <c r="X162" s="16"/>
      <c r="Y162" s="16"/>
    </row>
    <row r="163" spans="1:25" ht="13.5" thickBot="1">
      <c r="A163" s="389"/>
      <c r="B163" s="388" t="s">
        <v>1</v>
      </c>
      <c r="C163" s="398"/>
      <c r="D163" s="398"/>
      <c r="E163" s="398"/>
      <c r="F163" s="398"/>
      <c r="G163" s="398"/>
      <c r="H163" s="428"/>
      <c r="I163" s="381">
        <f>I30+I77+I86+I127+I144+I155</f>
        <v>0</v>
      </c>
      <c r="J163" s="381"/>
      <c r="K163" s="434">
        <f>K30+K77+K86+K127+K144+K155</f>
        <v>0</v>
      </c>
      <c r="L163" s="474">
        <f>L30+L77+L86+L127+L144+L155</f>
        <v>26.5</v>
      </c>
      <c r="M163" s="474">
        <f>M30+M77+M86+M127+M144+M155</f>
        <v>28.888888888888886</v>
      </c>
      <c r="N163" s="446">
        <f>N30+N77+N86+N127+N144+N155</f>
        <v>0</v>
      </c>
      <c r="O163" s="475" t="e">
        <f>((O30+O77+O86+O127+O144+O155)/N163)*100</f>
        <v>#DIV/0!</v>
      </c>
      <c r="P163" s="491"/>
      <c r="Q163" s="492" t="e">
        <f>((Q30+Q77+Q86+Q127+Q144+Q155)/K163)</f>
        <v>#DIV/0!</v>
      </c>
      <c r="R163" s="487"/>
      <c r="S163" s="48"/>
      <c r="T163" s="48"/>
      <c r="U163" s="50"/>
      <c r="V163" s="48"/>
      <c r="W163" s="48"/>
      <c r="X163" s="16"/>
      <c r="Y163" s="16"/>
    </row>
    <row r="164" spans="14:25" ht="13.5" thickBot="1">
      <c r="N164" s="436">
        <f>(-0.00063365*N163*N163)+(N163*0.11295)-0.00014275</f>
        <v>-0.00014275</v>
      </c>
      <c r="O164" s="435" t="s">
        <v>172</v>
      </c>
      <c r="P164" s="435"/>
      <c r="Q164" s="476" t="s">
        <v>177</v>
      </c>
      <c r="R164" s="487"/>
      <c r="S164" s="48"/>
      <c r="T164" s="48"/>
      <c r="U164" s="50"/>
      <c r="V164" s="48"/>
      <c r="W164" s="48"/>
      <c r="X164" s="16"/>
      <c r="Y164" s="16"/>
    </row>
    <row r="165" spans="4:25" ht="12.75">
      <c r="D165" s="435"/>
      <c r="E165" s="476"/>
      <c r="F165" s="477"/>
      <c r="G165" s="476"/>
      <c r="H165" s="477"/>
      <c r="I165" s="435"/>
      <c r="J165" s="435"/>
      <c r="K165" s="435"/>
      <c r="L165" s="435"/>
      <c r="N165" s="435" t="s">
        <v>211</v>
      </c>
      <c r="R165" s="487"/>
      <c r="S165" s="48"/>
      <c r="T165" s="48"/>
      <c r="U165" s="50"/>
      <c r="V165" s="48"/>
      <c r="W165" s="48"/>
      <c r="X165" s="16"/>
      <c r="Y165" s="16"/>
    </row>
    <row r="166" spans="18:25" ht="12.75">
      <c r="R166" s="487"/>
      <c r="S166" s="48"/>
      <c r="T166" s="48"/>
      <c r="U166" s="50"/>
      <c r="V166" s="48"/>
      <c r="W166" s="48"/>
      <c r="X166" s="16"/>
      <c r="Y166" s="16"/>
    </row>
    <row r="167" spans="18:25" ht="12.75">
      <c r="R167" s="490"/>
      <c r="S167" s="48"/>
      <c r="T167" s="48"/>
      <c r="U167" s="16"/>
      <c r="V167" s="48"/>
      <c r="W167" s="48"/>
      <c r="X167" s="16"/>
      <c r="Y167" s="16"/>
    </row>
    <row r="168" spans="18:25" ht="12.75">
      <c r="R168" s="487"/>
      <c r="S168" s="48"/>
      <c r="T168" s="48"/>
      <c r="U168" s="50"/>
      <c r="V168" s="48"/>
      <c r="W168" s="48"/>
      <c r="X168" s="16"/>
      <c r="Y168" s="16"/>
    </row>
    <row r="169" spans="18:25" ht="12.75">
      <c r="R169" s="487"/>
      <c r="S169" s="48"/>
      <c r="T169" s="48"/>
      <c r="U169" s="50"/>
      <c r="V169" s="48"/>
      <c r="W169" s="48"/>
      <c r="X169" s="16"/>
      <c r="Y169" s="16"/>
    </row>
    <row r="170" spans="18:25" ht="12.75">
      <c r="R170" s="487"/>
      <c r="S170" s="48"/>
      <c r="T170" s="48"/>
      <c r="U170" s="50"/>
      <c r="V170" s="48"/>
      <c r="W170" s="48"/>
      <c r="X170" s="16"/>
      <c r="Y170" s="16"/>
    </row>
    <row r="171" spans="18:25" ht="12.75">
      <c r="R171" s="487"/>
      <c r="S171" s="48"/>
      <c r="T171" s="48"/>
      <c r="U171" s="50"/>
      <c r="V171" s="48"/>
      <c r="W171" s="48"/>
      <c r="X171" s="16"/>
      <c r="Y171" s="16"/>
    </row>
    <row r="172" spans="18:25" ht="12.75">
      <c r="R172" s="487"/>
      <c r="S172" s="48"/>
      <c r="T172" s="48"/>
      <c r="U172" s="50"/>
      <c r="V172" s="48"/>
      <c r="W172" s="48"/>
      <c r="X172" s="16"/>
      <c r="Y172" s="16"/>
    </row>
    <row r="173" spans="18:25" ht="12.75">
      <c r="R173" s="487"/>
      <c r="S173" s="48"/>
      <c r="T173" s="48"/>
      <c r="U173" s="50"/>
      <c r="V173" s="48"/>
      <c r="W173" s="48"/>
      <c r="X173" s="16"/>
      <c r="Y173" s="16"/>
    </row>
    <row r="174" spans="18:25" ht="12.75">
      <c r="R174" s="487"/>
      <c r="S174" s="48"/>
      <c r="T174" s="48"/>
      <c r="U174" s="50"/>
      <c r="V174" s="48"/>
      <c r="W174" s="48"/>
      <c r="X174" s="16"/>
      <c r="Y174" s="16"/>
    </row>
    <row r="175" spans="18:25" ht="12.75">
      <c r="R175" s="487"/>
      <c r="S175" s="48"/>
      <c r="T175" s="48"/>
      <c r="U175" s="50"/>
      <c r="V175" s="48"/>
      <c r="W175" s="48"/>
      <c r="X175" s="16"/>
      <c r="Y175" s="16"/>
    </row>
    <row r="176" spans="18:25" ht="12.75">
      <c r="R176" s="487"/>
      <c r="S176" s="48"/>
      <c r="T176" s="48"/>
      <c r="U176" s="50"/>
      <c r="V176" s="48"/>
      <c r="W176" s="48"/>
      <c r="X176" s="16"/>
      <c r="Y176" s="16"/>
    </row>
    <row r="177" spans="18:25" ht="12.75">
      <c r="R177" s="487"/>
      <c r="S177" s="48"/>
      <c r="T177" s="48"/>
      <c r="U177" s="50"/>
      <c r="V177" s="48"/>
      <c r="W177" s="48"/>
      <c r="X177" s="16"/>
      <c r="Y177" s="16"/>
    </row>
    <row r="178" spans="18:25" ht="12.75">
      <c r="R178" s="487"/>
      <c r="S178" s="48"/>
      <c r="T178" s="48"/>
      <c r="U178" s="16"/>
      <c r="V178" s="50"/>
      <c r="W178" s="48"/>
      <c r="X178" s="16"/>
      <c r="Y178" s="16"/>
    </row>
    <row r="179" spans="18:25" ht="12.75">
      <c r="R179" s="487"/>
      <c r="S179" s="48"/>
      <c r="T179" s="48"/>
      <c r="U179" s="50"/>
      <c r="V179" s="48"/>
      <c r="W179" s="48"/>
      <c r="X179" s="16"/>
      <c r="Y179" s="16"/>
    </row>
    <row r="180" spans="18:25" ht="12.75">
      <c r="R180" s="487"/>
      <c r="S180" s="48"/>
      <c r="T180" s="48"/>
      <c r="U180" s="50"/>
      <c r="V180" s="48"/>
      <c r="W180" s="48"/>
      <c r="X180" s="16"/>
      <c r="Y180" s="16"/>
    </row>
    <row r="181" spans="18:25" ht="12.75">
      <c r="R181" s="487"/>
      <c r="S181" s="48"/>
      <c r="T181" s="48"/>
      <c r="U181" s="50"/>
      <c r="V181" s="48"/>
      <c r="W181" s="48"/>
      <c r="X181" s="16"/>
      <c r="Y181" s="16"/>
    </row>
    <row r="182" spans="18:25" ht="12.75">
      <c r="R182" s="487"/>
      <c r="S182" s="48"/>
      <c r="T182" s="48"/>
      <c r="U182" s="50"/>
      <c r="V182" s="48"/>
      <c r="W182" s="48"/>
      <c r="X182" s="16"/>
      <c r="Y182" s="16"/>
    </row>
    <row r="183" spans="18:25" ht="12.75">
      <c r="R183" s="487"/>
      <c r="S183" s="48"/>
      <c r="T183" s="48"/>
      <c r="U183" s="50"/>
      <c r="V183" s="48"/>
      <c r="W183" s="48"/>
      <c r="X183" s="16"/>
      <c r="Y183" s="16"/>
    </row>
    <row r="184" spans="18:25" ht="12.75">
      <c r="R184" s="487"/>
      <c r="S184" s="48"/>
      <c r="T184" s="48"/>
      <c r="U184" s="50"/>
      <c r="V184" s="48"/>
      <c r="W184" s="48"/>
      <c r="X184" s="16"/>
      <c r="Y184" s="16"/>
    </row>
    <row r="185" spans="18:25" ht="12.75">
      <c r="R185" s="487"/>
      <c r="S185" s="48"/>
      <c r="T185" s="48"/>
      <c r="U185" s="50"/>
      <c r="V185" s="48"/>
      <c r="W185" s="48"/>
      <c r="X185" s="16"/>
      <c r="Y185" s="16"/>
    </row>
    <row r="186" spans="18:25" ht="12.75">
      <c r="R186" s="487"/>
      <c r="S186" s="48"/>
      <c r="T186" s="48"/>
      <c r="U186" s="50"/>
      <c r="V186" s="48"/>
      <c r="W186" s="48"/>
      <c r="X186" s="16"/>
      <c r="Y186" s="16"/>
    </row>
    <row r="187" spans="18:25" ht="12.75">
      <c r="R187" s="487"/>
      <c r="S187" s="48"/>
      <c r="T187" s="48"/>
      <c r="U187" s="50"/>
      <c r="V187" s="48"/>
      <c r="W187" s="48"/>
      <c r="X187" s="16"/>
      <c r="Y187" s="16"/>
    </row>
    <row r="188" spans="18:25" ht="12.75">
      <c r="R188" s="487"/>
      <c r="S188" s="48"/>
      <c r="T188" s="48"/>
      <c r="U188" s="50"/>
      <c r="V188" s="48"/>
      <c r="W188" s="48"/>
      <c r="X188" s="16"/>
      <c r="Y188" s="16"/>
    </row>
    <row r="189" spans="18:25" ht="12.75">
      <c r="R189" s="487"/>
      <c r="S189" s="48"/>
      <c r="T189" s="48"/>
      <c r="U189" s="50"/>
      <c r="V189" s="48"/>
      <c r="W189" s="48"/>
      <c r="X189" s="16"/>
      <c r="Y189" s="16"/>
    </row>
    <row r="190" spans="18:25" ht="12.75">
      <c r="R190" s="487"/>
      <c r="S190" s="48"/>
      <c r="T190" s="48"/>
      <c r="U190" s="50"/>
      <c r="V190" s="48"/>
      <c r="W190" s="48"/>
      <c r="X190" s="16"/>
      <c r="Y190" s="16"/>
    </row>
    <row r="191" spans="18:25" ht="12.75">
      <c r="R191" s="487"/>
      <c r="S191" s="48"/>
      <c r="T191" s="48"/>
      <c r="U191" s="48"/>
      <c r="V191" s="48"/>
      <c r="W191" s="48"/>
      <c r="X191" s="16"/>
      <c r="Y191" s="16"/>
    </row>
    <row r="192" spans="18:25" ht="12.75">
      <c r="R192" s="113"/>
      <c r="S192" s="17"/>
      <c r="T192" s="17"/>
      <c r="U192" s="17"/>
      <c r="V192" s="17"/>
      <c r="W192" s="17"/>
      <c r="X192" s="17"/>
      <c r="Y192" s="16"/>
    </row>
    <row r="193" spans="18:25" ht="12.75">
      <c r="R193" s="113"/>
      <c r="S193" s="17"/>
      <c r="T193" s="17"/>
      <c r="U193" s="17"/>
      <c r="V193" s="17"/>
      <c r="W193" s="17"/>
      <c r="X193" s="17"/>
      <c r="Y193" s="16"/>
    </row>
    <row r="194" spans="19:20" ht="12.75">
      <c r="S194" s="16"/>
      <c r="T194" s="16"/>
    </row>
    <row r="195" spans="19:20" ht="12.75">
      <c r="S195" s="16"/>
      <c r="T195" s="16"/>
    </row>
    <row r="196" spans="19:20" ht="12.75">
      <c r="S196" s="16"/>
      <c r="T196" s="16"/>
    </row>
    <row r="197" spans="19:20" ht="12.75">
      <c r="S197" s="16"/>
      <c r="T197" s="16"/>
    </row>
    <row r="198" spans="19:20" ht="12.75">
      <c r="S198" s="16"/>
      <c r="T198" s="16"/>
    </row>
    <row r="199" spans="19:20" ht="12.75">
      <c r="S199" s="16"/>
      <c r="T199" s="16"/>
    </row>
    <row r="200" spans="19:20" ht="12.75">
      <c r="S200" s="16"/>
      <c r="T200" s="16"/>
    </row>
    <row r="201" spans="19:20" ht="12.75">
      <c r="S201" s="16"/>
      <c r="T201" s="16"/>
    </row>
    <row r="202" spans="19:20" ht="12.75">
      <c r="S202" s="16"/>
      <c r="T202" s="16"/>
    </row>
    <row r="203" spans="19:20" ht="12.75">
      <c r="S203" s="16"/>
      <c r="T203" s="16"/>
    </row>
    <row r="204" spans="19:20" ht="12.75">
      <c r="S204" s="16"/>
      <c r="T204" s="16"/>
    </row>
    <row r="205" spans="19:20" ht="12.75">
      <c r="S205" s="16"/>
      <c r="T205" s="16"/>
    </row>
    <row r="206" spans="19:20" ht="12.75">
      <c r="S206" s="16"/>
      <c r="T206" s="16"/>
    </row>
    <row r="207" spans="19:20" ht="12.75">
      <c r="S207" s="16"/>
      <c r="T207" s="16"/>
    </row>
    <row r="208" spans="19:20" ht="12.75">
      <c r="S208" s="16"/>
      <c r="T208" s="16"/>
    </row>
    <row r="209" spans="19:20" ht="12.75">
      <c r="S209" s="16"/>
      <c r="T209" s="16"/>
    </row>
    <row r="210" spans="19:20" ht="12.75">
      <c r="S210" s="16"/>
      <c r="T210" s="16"/>
    </row>
    <row r="211" spans="19:20" ht="12.75">
      <c r="S211" s="16"/>
      <c r="T211" s="16"/>
    </row>
    <row r="212" spans="19:20" ht="12.75">
      <c r="S212" s="16"/>
      <c r="T212" s="16"/>
    </row>
    <row r="213" spans="19:20" ht="12.75">
      <c r="S213" s="16"/>
      <c r="T213" s="16"/>
    </row>
    <row r="214" spans="19:20" ht="12.75">
      <c r="S214" s="16"/>
      <c r="T214" s="16"/>
    </row>
    <row r="215" spans="19:20" ht="12.75">
      <c r="S215" s="16"/>
      <c r="T215" s="16"/>
    </row>
    <row r="216" spans="19:20" ht="12.75">
      <c r="S216" s="16"/>
      <c r="T216" s="16"/>
    </row>
    <row r="217" spans="19:20" ht="12.75">
      <c r="S217" s="16"/>
      <c r="T217" s="16"/>
    </row>
    <row r="218" spans="19:20" ht="12.75">
      <c r="S218" s="16"/>
      <c r="T218" s="16"/>
    </row>
    <row r="219" spans="19:20" ht="12.75">
      <c r="S219" s="16"/>
      <c r="T219" s="16"/>
    </row>
    <row r="220" spans="19:20" ht="12.75">
      <c r="S220" s="16"/>
      <c r="T220" s="16"/>
    </row>
    <row r="221" spans="19:20" ht="12.75">
      <c r="S221" s="16"/>
      <c r="T221" s="16"/>
    </row>
    <row r="222" spans="19:20" ht="12.75">
      <c r="S222" s="16"/>
      <c r="T222" s="16"/>
    </row>
    <row r="223" spans="19:20" ht="12.75">
      <c r="S223" s="16"/>
      <c r="T223" s="16"/>
    </row>
    <row r="224" spans="19:20" ht="12.75">
      <c r="S224" s="16"/>
      <c r="T224" s="16"/>
    </row>
    <row r="225" spans="19:20" ht="12.75">
      <c r="S225" s="16"/>
      <c r="T225" s="16"/>
    </row>
    <row r="226" spans="19:20" ht="12.75">
      <c r="S226" s="16"/>
      <c r="T226" s="16"/>
    </row>
    <row r="227" spans="19:20" ht="12.75">
      <c r="S227" s="16"/>
      <c r="T227" s="16"/>
    </row>
    <row r="228" spans="19:20" ht="12.75">
      <c r="S228" s="16"/>
      <c r="T228" s="16"/>
    </row>
    <row r="229" spans="19:20" ht="12.75">
      <c r="S229" s="16"/>
      <c r="T229" s="16"/>
    </row>
    <row r="230" spans="19:20" ht="12.75">
      <c r="S230" s="16"/>
      <c r="T230" s="16"/>
    </row>
    <row r="231" spans="19:20" ht="12.75">
      <c r="S231" s="16"/>
      <c r="T231" s="16"/>
    </row>
    <row r="232" spans="19:20" ht="12.75">
      <c r="S232" s="16"/>
      <c r="T232" s="16"/>
    </row>
    <row r="233" spans="19:20" ht="12.75">
      <c r="S233" s="16"/>
      <c r="T233" s="16"/>
    </row>
  </sheetData>
  <mergeCells count="5">
    <mergeCell ref="I8:J8"/>
    <mergeCell ref="P28:Q28"/>
    <mergeCell ref="H25:I25"/>
    <mergeCell ref="L28:N28"/>
    <mergeCell ref="J28:K28"/>
  </mergeCells>
  <printOptions/>
  <pageMargins left="0.75" right="0.75" top="1" bottom="1" header="0" footer="0"/>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AC214"/>
  <sheetViews>
    <sheetView zoomScale="85" zoomScaleNormal="85" workbookViewId="0" topLeftCell="J2">
      <selection activeCell="N12" sqref="N12"/>
    </sheetView>
  </sheetViews>
  <sheetFormatPr defaultColWidth="11.421875" defaultRowHeight="12.75"/>
  <cols>
    <col min="1" max="1" width="5.421875" style="368" customWidth="1"/>
    <col min="2" max="2" width="11.421875" style="368" customWidth="1"/>
    <col min="3" max="3" width="8.28125" style="368" customWidth="1"/>
    <col min="4" max="4" width="6.57421875" style="368" customWidth="1"/>
    <col min="5" max="5" width="6.8515625" style="368" customWidth="1"/>
    <col min="6" max="6" width="11.421875" style="368" customWidth="1"/>
    <col min="7" max="7" width="7.7109375" style="368" customWidth="1"/>
    <col min="8" max="8" width="7.140625" style="368" customWidth="1"/>
    <col min="9" max="14" width="11.421875" style="368" customWidth="1"/>
    <col min="15" max="15" width="8.28125" style="368" customWidth="1"/>
    <col min="16" max="16" width="11.421875" style="368" customWidth="1"/>
    <col min="17" max="17" width="9.00390625" style="368" customWidth="1"/>
    <col min="18" max="18" width="8.28125" style="368" customWidth="1"/>
    <col min="19" max="19" width="11.00390625" style="368" customWidth="1"/>
    <col min="20" max="26" width="4.7109375" style="368" customWidth="1"/>
  </cols>
  <sheetData>
    <row r="1" spans="1:26" s="13" customFormat="1" ht="18.75" thickBot="1">
      <c r="A1" s="389"/>
      <c r="B1" s="397" t="s">
        <v>458</v>
      </c>
      <c r="C1" s="398"/>
      <c r="D1" s="398"/>
      <c r="E1" s="398"/>
      <c r="F1" s="398"/>
      <c r="G1" s="398"/>
      <c r="H1" s="398"/>
      <c r="I1" s="398"/>
      <c r="J1" s="398"/>
      <c r="K1" s="398"/>
      <c r="L1" s="398"/>
      <c r="M1" s="398"/>
      <c r="N1" s="398"/>
      <c r="O1" s="398"/>
      <c r="P1" s="398"/>
      <c r="Q1" s="398"/>
      <c r="R1" s="398"/>
      <c r="S1" s="398"/>
      <c r="T1" s="398"/>
      <c r="U1" s="398"/>
      <c r="V1" s="398"/>
      <c r="W1" s="398"/>
      <c r="X1" s="398"/>
      <c r="Y1" s="398"/>
      <c r="Z1" s="398"/>
    </row>
    <row r="2" spans="1:29" s="16" customFormat="1" ht="20.25">
      <c r="A2" s="390"/>
      <c r="B2" s="399"/>
      <c r="C2" s="390"/>
      <c r="D2" s="390"/>
      <c r="E2" s="390"/>
      <c r="F2" s="390"/>
      <c r="G2" s="390"/>
      <c r="H2" s="390"/>
      <c r="I2" s="390"/>
      <c r="J2" s="390"/>
      <c r="K2" s="390"/>
      <c r="L2" s="390"/>
      <c r="M2" s="390"/>
      <c r="N2" s="390"/>
      <c r="O2" s="128"/>
      <c r="P2" s="390"/>
      <c r="Q2" s="390"/>
      <c r="R2" s="390"/>
      <c r="S2" s="390"/>
      <c r="T2" s="390"/>
      <c r="U2" s="390"/>
      <c r="V2" s="390"/>
      <c r="W2" s="390"/>
      <c r="X2" s="390"/>
      <c r="Y2" s="390"/>
      <c r="Z2" s="390"/>
      <c r="AA2" s="77"/>
      <c r="AB2" s="77"/>
      <c r="AC2" s="77"/>
    </row>
    <row r="3" spans="16:29" ht="12.75">
      <c r="P3" s="129"/>
      <c r="Q3" s="592"/>
      <c r="AA3" s="76"/>
      <c r="AB3" s="76"/>
      <c r="AC3" s="76"/>
    </row>
    <row r="4" spans="16:29" ht="12.75">
      <c r="P4" s="115"/>
      <c r="Q4" s="401"/>
      <c r="R4" s="390"/>
      <c r="AA4" s="76"/>
      <c r="AB4" s="76"/>
      <c r="AC4" s="76"/>
    </row>
    <row r="5" spans="2:29" ht="15.75">
      <c r="B5" s="129" t="s">
        <v>47</v>
      </c>
      <c r="F5" s="400"/>
      <c r="G5" s="400"/>
      <c r="I5" s="401"/>
      <c r="J5" s="401"/>
      <c r="K5" s="401"/>
      <c r="L5" s="401"/>
      <c r="P5" s="115"/>
      <c r="Q5" s="401"/>
      <c r="R5" s="390"/>
      <c r="AA5" s="76"/>
      <c r="AB5" s="76"/>
      <c r="AC5" s="76"/>
    </row>
    <row r="6" spans="2:29" ht="12.75">
      <c r="B6" s="571"/>
      <c r="C6" s="572"/>
      <c r="D6" s="573" t="s">
        <v>48</v>
      </c>
      <c r="E6" s="574" t="s">
        <v>49</v>
      </c>
      <c r="F6" s="574" t="s">
        <v>50</v>
      </c>
      <c r="G6" s="575" t="s">
        <v>51</v>
      </c>
      <c r="I6" s="401"/>
      <c r="J6" s="401"/>
      <c r="K6" s="401"/>
      <c r="L6" s="401"/>
      <c r="P6" s="115"/>
      <c r="Q6" s="401"/>
      <c r="R6" s="390"/>
      <c r="AA6" s="76"/>
      <c r="AB6" s="76"/>
      <c r="AC6" s="76"/>
    </row>
    <row r="7" spans="2:29" ht="12.75">
      <c r="B7" s="576" t="s">
        <v>52</v>
      </c>
      <c r="C7" s="577"/>
      <c r="D7" s="534">
        <v>4</v>
      </c>
      <c r="E7" s="534">
        <v>3</v>
      </c>
      <c r="F7" s="534">
        <v>5</v>
      </c>
      <c r="G7" s="534" t="s">
        <v>53</v>
      </c>
      <c r="I7" s="401"/>
      <c r="J7" s="401"/>
      <c r="K7" s="401"/>
      <c r="L7" s="401"/>
      <c r="P7" s="115"/>
      <c r="Q7" s="401"/>
      <c r="R7" s="390"/>
      <c r="AA7" s="76"/>
      <c r="AB7" s="76"/>
      <c r="AC7" s="76"/>
    </row>
    <row r="8" spans="16:29" ht="12.75">
      <c r="P8" s="115"/>
      <c r="Q8" s="401"/>
      <c r="R8" s="390"/>
      <c r="AA8" s="76"/>
      <c r="AB8" s="76"/>
      <c r="AC8" s="76"/>
    </row>
    <row r="9" spans="2:29" ht="12.75">
      <c r="B9" s="129" t="s">
        <v>54</v>
      </c>
      <c r="F9" s="129" t="s">
        <v>55</v>
      </c>
      <c r="J9" s="129" t="s">
        <v>56</v>
      </c>
      <c r="P9" s="115"/>
      <c r="Q9" s="401"/>
      <c r="R9" s="390"/>
      <c r="AA9" s="76"/>
      <c r="AB9" s="76"/>
      <c r="AC9" s="76"/>
    </row>
    <row r="10" spans="2:29" ht="13.5" thickBot="1">
      <c r="B10" s="578" t="s">
        <v>57</v>
      </c>
      <c r="F10" s="578" t="s">
        <v>58</v>
      </c>
      <c r="P10" s="115"/>
      <c r="Q10" s="401"/>
      <c r="R10" s="390"/>
      <c r="AA10" s="76"/>
      <c r="AB10" s="76"/>
      <c r="AC10" s="76"/>
    </row>
    <row r="11" spans="2:29" ht="13.5" thickBot="1">
      <c r="B11" s="579" t="s">
        <v>59</v>
      </c>
      <c r="C11" s="580"/>
      <c r="F11" s="579" t="s">
        <v>60</v>
      </c>
      <c r="G11" s="580"/>
      <c r="J11" s="461" t="s">
        <v>61</v>
      </c>
      <c r="K11" s="581"/>
      <c r="L11" s="460" t="s">
        <v>0</v>
      </c>
      <c r="P11" s="115"/>
      <c r="Q11" s="401"/>
      <c r="R11" s="390"/>
      <c r="AA11" s="76"/>
      <c r="AB11" s="76"/>
      <c r="AC11" s="76"/>
    </row>
    <row r="12" spans="2:29" ht="12.75">
      <c r="B12" s="574" t="s">
        <v>62</v>
      </c>
      <c r="C12" s="574" t="s">
        <v>63</v>
      </c>
      <c r="F12" s="574" t="s">
        <v>62</v>
      </c>
      <c r="G12" s="574" t="s">
        <v>63</v>
      </c>
      <c r="J12" s="705" t="s">
        <v>64</v>
      </c>
      <c r="K12" s="706"/>
      <c r="L12" s="515">
        <v>5</v>
      </c>
      <c r="P12" s="115"/>
      <c r="Q12" s="401"/>
      <c r="R12" s="390"/>
      <c r="AA12" s="76"/>
      <c r="AB12" s="76"/>
      <c r="AC12" s="76"/>
    </row>
    <row r="13" spans="2:29" ht="12.75">
      <c r="B13" s="534" t="s">
        <v>65</v>
      </c>
      <c r="C13" s="582">
        <v>5</v>
      </c>
      <c r="F13" s="534">
        <v>210</v>
      </c>
      <c r="G13" s="582">
        <v>5</v>
      </c>
      <c r="J13" s="742" t="s">
        <v>66</v>
      </c>
      <c r="K13" s="743"/>
      <c r="L13" s="516">
        <v>4.857142857142857</v>
      </c>
      <c r="P13" s="115"/>
      <c r="Q13" s="401"/>
      <c r="R13" s="390"/>
      <c r="AA13" s="76"/>
      <c r="AB13" s="76"/>
      <c r="AC13" s="76"/>
    </row>
    <row r="14" spans="2:29" ht="12.75">
      <c r="B14" s="534">
        <v>150</v>
      </c>
      <c r="C14" s="582">
        <v>4.166666666666667</v>
      </c>
      <c r="F14" s="534">
        <v>180</v>
      </c>
      <c r="G14" s="582">
        <v>4.285714285714286</v>
      </c>
      <c r="J14" s="742" t="s">
        <v>67</v>
      </c>
      <c r="K14" s="743"/>
      <c r="L14" s="516">
        <v>4.571428571428572</v>
      </c>
      <c r="P14" s="115"/>
      <c r="Q14" s="401"/>
      <c r="R14" s="390"/>
      <c r="AA14" s="76"/>
      <c r="AB14" s="76"/>
      <c r="AC14" s="76"/>
    </row>
    <row r="15" spans="2:29" ht="12.75">
      <c r="B15" s="534">
        <v>120</v>
      </c>
      <c r="C15" s="582">
        <v>3.333333333333333</v>
      </c>
      <c r="F15" s="534">
        <v>165</v>
      </c>
      <c r="G15" s="582">
        <v>3.9285714285714284</v>
      </c>
      <c r="J15" s="742" t="s">
        <v>68</v>
      </c>
      <c r="K15" s="743"/>
      <c r="L15" s="516">
        <v>4.2857142857142865</v>
      </c>
      <c r="P15" s="115"/>
      <c r="Q15" s="401"/>
      <c r="R15" s="390"/>
      <c r="AA15" s="76"/>
      <c r="AB15" s="76"/>
      <c r="AC15" s="76"/>
    </row>
    <row r="16" spans="2:29" ht="12.75">
      <c r="B16" s="534">
        <v>90</v>
      </c>
      <c r="C16" s="582">
        <v>2.5</v>
      </c>
      <c r="F16" s="534">
        <v>150</v>
      </c>
      <c r="G16" s="582">
        <v>3.5714285714285716</v>
      </c>
      <c r="J16" s="742" t="s">
        <v>69</v>
      </c>
      <c r="K16" s="743"/>
      <c r="L16" s="516">
        <v>4.142857142857144</v>
      </c>
      <c r="P16" s="115"/>
      <c r="Q16" s="401"/>
      <c r="R16" s="390"/>
      <c r="AA16" s="76"/>
      <c r="AB16" s="76"/>
      <c r="AC16" s="76"/>
    </row>
    <row r="17" spans="2:29" ht="12.75">
      <c r="B17" s="534">
        <v>75</v>
      </c>
      <c r="C17" s="582">
        <v>2.0833333333333335</v>
      </c>
      <c r="F17" s="534">
        <v>135</v>
      </c>
      <c r="G17" s="582">
        <v>3.2142857142857144</v>
      </c>
      <c r="J17" s="742">
        <v>6</v>
      </c>
      <c r="K17" s="743"/>
      <c r="L17" s="516">
        <v>4</v>
      </c>
      <c r="P17" s="115"/>
      <c r="Q17" s="401"/>
      <c r="R17" s="390"/>
      <c r="AA17" s="76"/>
      <c r="AB17" s="76"/>
      <c r="AC17" s="76"/>
    </row>
    <row r="18" spans="2:29" ht="12.75">
      <c r="B18" s="534">
        <v>60</v>
      </c>
      <c r="C18" s="582">
        <v>1.6666666666666665</v>
      </c>
      <c r="F18" s="534">
        <v>120</v>
      </c>
      <c r="G18" s="582">
        <v>2.8571428571428568</v>
      </c>
      <c r="J18" s="742" t="s">
        <v>70</v>
      </c>
      <c r="K18" s="743"/>
      <c r="L18" s="516">
        <v>3.857142857142857</v>
      </c>
      <c r="P18" s="115"/>
      <c r="Q18" s="401"/>
      <c r="R18" s="390"/>
      <c r="AA18" s="76"/>
      <c r="AB18" s="76"/>
      <c r="AC18" s="76"/>
    </row>
    <row r="19" spans="2:29" ht="12.75">
      <c r="B19" s="534">
        <v>45</v>
      </c>
      <c r="C19" s="582">
        <v>1.25</v>
      </c>
      <c r="F19" s="534">
        <v>105</v>
      </c>
      <c r="G19" s="582">
        <v>2.5</v>
      </c>
      <c r="J19" s="742" t="s">
        <v>71</v>
      </c>
      <c r="K19" s="743"/>
      <c r="L19" s="516">
        <v>3.761904761904762</v>
      </c>
      <c r="P19" s="115"/>
      <c r="Q19" s="401"/>
      <c r="R19" s="390"/>
      <c r="AA19" s="76"/>
      <c r="AB19" s="76"/>
      <c r="AC19" s="76"/>
    </row>
    <row r="20" spans="2:29" ht="12.75">
      <c r="B20" s="534">
        <v>30</v>
      </c>
      <c r="C20" s="582">
        <v>0.8333333333333333</v>
      </c>
      <c r="F20" s="534">
        <v>90</v>
      </c>
      <c r="G20" s="582">
        <v>2.142857142857143</v>
      </c>
      <c r="J20" s="742" t="s">
        <v>72</v>
      </c>
      <c r="K20" s="743"/>
      <c r="L20" s="516">
        <v>3.4285714285714284</v>
      </c>
      <c r="P20" s="115"/>
      <c r="Q20" s="401"/>
      <c r="R20" s="390"/>
      <c r="AA20" s="76"/>
      <c r="AB20" s="76"/>
      <c r="AC20" s="76"/>
    </row>
    <row r="21" spans="2:29" ht="12.75">
      <c r="B21" s="534" t="s">
        <v>73</v>
      </c>
      <c r="C21" s="582" t="s">
        <v>74</v>
      </c>
      <c r="F21" s="534">
        <v>75</v>
      </c>
      <c r="G21" s="582">
        <v>1.7857142857142858</v>
      </c>
      <c r="J21" s="742">
        <v>5</v>
      </c>
      <c r="K21" s="743"/>
      <c r="L21" s="516">
        <v>3.142857142857143</v>
      </c>
      <c r="P21" s="115"/>
      <c r="Q21" s="401"/>
      <c r="R21" s="390"/>
      <c r="AA21" s="76"/>
      <c r="AB21" s="76"/>
      <c r="AC21" s="76"/>
    </row>
    <row r="22" spans="2:29" ht="12.75">
      <c r="B22" s="534" t="s">
        <v>75</v>
      </c>
      <c r="C22" s="534">
        <v>0</v>
      </c>
      <c r="F22" s="534">
        <v>60</v>
      </c>
      <c r="G22" s="582">
        <v>1.4285714285714284</v>
      </c>
      <c r="J22" s="742" t="s">
        <v>76</v>
      </c>
      <c r="K22" s="743"/>
      <c r="L22" s="516">
        <v>2.7619047619047623</v>
      </c>
      <c r="P22" s="115"/>
      <c r="Q22" s="401"/>
      <c r="R22" s="390"/>
      <c r="AA22" s="76"/>
      <c r="AB22" s="76"/>
      <c r="AC22" s="76"/>
    </row>
    <row r="23" spans="2:29" ht="12.75">
      <c r="B23" s="578" t="s">
        <v>77</v>
      </c>
      <c r="F23" s="534">
        <v>45</v>
      </c>
      <c r="G23" s="582">
        <v>1.0714285714285714</v>
      </c>
      <c r="J23" s="742">
        <v>4</v>
      </c>
      <c r="K23" s="743"/>
      <c r="L23" s="516">
        <v>2.571428571428571</v>
      </c>
      <c r="P23" s="115"/>
      <c r="Q23" s="401"/>
      <c r="R23" s="390"/>
      <c r="AA23" s="76"/>
      <c r="AB23" s="76"/>
      <c r="AC23" s="76"/>
    </row>
    <row r="24" spans="6:29" ht="12.75">
      <c r="F24" s="534" t="s">
        <v>78</v>
      </c>
      <c r="G24" s="534">
        <v>1</v>
      </c>
      <c r="J24" s="742" t="s">
        <v>79</v>
      </c>
      <c r="K24" s="743"/>
      <c r="L24" s="516">
        <v>2.5714285714285716</v>
      </c>
      <c r="P24" s="115"/>
      <c r="Q24" s="401"/>
      <c r="R24" s="390"/>
      <c r="AA24" s="76"/>
      <c r="AB24" s="76"/>
      <c r="AC24" s="76"/>
    </row>
    <row r="25" spans="6:29" ht="12.75">
      <c r="F25" s="534">
        <v>30</v>
      </c>
      <c r="G25" s="582">
        <v>0.7142857142857142</v>
      </c>
      <c r="J25" s="742" t="s">
        <v>80</v>
      </c>
      <c r="K25" s="743"/>
      <c r="L25" s="516">
        <v>2</v>
      </c>
      <c r="P25" s="115"/>
      <c r="Q25" s="401"/>
      <c r="R25" s="494"/>
      <c r="AA25" s="76"/>
      <c r="AB25" s="76"/>
      <c r="AC25" s="76"/>
    </row>
    <row r="26" spans="6:29" ht="12.75">
      <c r="F26" s="534" t="s">
        <v>81</v>
      </c>
      <c r="G26" s="582">
        <v>0.5</v>
      </c>
      <c r="J26" s="742">
        <v>3</v>
      </c>
      <c r="K26" s="743"/>
      <c r="L26" s="516">
        <v>1.7142857142857142</v>
      </c>
      <c r="P26" s="115"/>
      <c r="Q26" s="401"/>
      <c r="R26" s="390"/>
      <c r="AA26" s="76"/>
      <c r="AB26" s="76"/>
      <c r="AC26" s="76"/>
    </row>
    <row r="27" spans="6:29" ht="12.75">
      <c r="F27" s="534" t="s">
        <v>75</v>
      </c>
      <c r="G27" s="534">
        <v>0</v>
      </c>
      <c r="J27" s="742">
        <v>2</v>
      </c>
      <c r="K27" s="743"/>
      <c r="L27" s="516">
        <v>1.142857142857143</v>
      </c>
      <c r="P27" s="115"/>
      <c r="Q27" s="401"/>
      <c r="R27" s="390"/>
      <c r="AA27" s="76"/>
      <c r="AB27" s="76"/>
      <c r="AC27" s="76"/>
    </row>
    <row r="28" spans="6:29" ht="12.75">
      <c r="F28" s="578" t="s">
        <v>77</v>
      </c>
      <c r="J28" s="742" t="s">
        <v>82</v>
      </c>
      <c r="K28" s="743"/>
      <c r="L28" s="516">
        <v>1.0476190476190477</v>
      </c>
      <c r="P28" s="115"/>
      <c r="Q28" s="401"/>
      <c r="R28" s="390"/>
      <c r="AA28" s="76"/>
      <c r="AB28" s="76"/>
      <c r="AC28" s="76"/>
    </row>
    <row r="29" spans="10:29" ht="13.5" thickBot="1">
      <c r="J29" s="733">
        <v>1</v>
      </c>
      <c r="K29" s="734"/>
      <c r="L29" s="459">
        <v>0.5714285714285715</v>
      </c>
      <c r="P29" s="115"/>
      <c r="Q29" s="401"/>
      <c r="R29" s="390"/>
      <c r="AA29" s="76"/>
      <c r="AB29" s="76"/>
      <c r="AC29" s="76"/>
    </row>
    <row r="30" spans="2:29" ht="12.75">
      <c r="B30" s="129" t="s">
        <v>83</v>
      </c>
      <c r="P30" s="115"/>
      <c r="Q30" s="401"/>
      <c r="R30" s="390"/>
      <c r="AA30" s="76"/>
      <c r="AB30" s="76"/>
      <c r="AC30" s="76"/>
    </row>
    <row r="31" spans="16:29" ht="12.75">
      <c r="P31" s="115"/>
      <c r="Q31" s="401"/>
      <c r="R31" s="390"/>
      <c r="AA31" s="76"/>
      <c r="AB31" s="76"/>
      <c r="AC31" s="76"/>
    </row>
    <row r="32" spans="2:29" ht="12.75">
      <c r="B32" s="129" t="s">
        <v>84</v>
      </c>
      <c r="E32" s="129" t="s">
        <v>85</v>
      </c>
      <c r="H32" s="477" t="s">
        <v>100</v>
      </c>
      <c r="K32" s="477" t="s">
        <v>101</v>
      </c>
      <c r="P32" s="115"/>
      <c r="Q32" s="401"/>
      <c r="R32" s="390"/>
      <c r="AA32" s="76"/>
      <c r="AB32" s="76"/>
      <c r="AC32" s="76"/>
    </row>
    <row r="33" spans="2:29" ht="12.75">
      <c r="B33" s="435" t="s">
        <v>86</v>
      </c>
      <c r="C33" s="435" t="s">
        <v>0</v>
      </c>
      <c r="D33" s="113"/>
      <c r="E33" s="435" t="s">
        <v>86</v>
      </c>
      <c r="F33" s="435" t="s">
        <v>0</v>
      </c>
      <c r="G33" s="113"/>
      <c r="H33" s="435" t="s">
        <v>86</v>
      </c>
      <c r="I33" s="435" t="s">
        <v>0</v>
      </c>
      <c r="J33" s="435"/>
      <c r="K33" s="435" t="s">
        <v>86</v>
      </c>
      <c r="L33" s="435" t="s">
        <v>0</v>
      </c>
      <c r="M33" s="113"/>
      <c r="N33" s="113"/>
      <c r="P33" s="115"/>
      <c r="Q33" s="401"/>
      <c r="R33" s="390"/>
      <c r="AA33" s="76"/>
      <c r="AB33" s="76"/>
      <c r="AC33" s="76"/>
    </row>
    <row r="34" spans="2:29" ht="12.75">
      <c r="B34" s="583" t="s">
        <v>87</v>
      </c>
      <c r="C34" s="531">
        <v>1</v>
      </c>
      <c r="D34" s="415"/>
      <c r="E34" s="531" t="s">
        <v>102</v>
      </c>
      <c r="F34" s="584">
        <v>0.99976661332114</v>
      </c>
      <c r="G34" s="415"/>
      <c r="H34" s="531" t="s">
        <v>102</v>
      </c>
      <c r="I34" s="584">
        <v>1</v>
      </c>
      <c r="J34" s="407"/>
      <c r="K34" s="531" t="s">
        <v>88</v>
      </c>
      <c r="L34" s="584">
        <v>0.8331388444342834</v>
      </c>
      <c r="M34" s="415"/>
      <c r="N34" s="486"/>
      <c r="P34" s="115"/>
      <c r="Q34" s="401"/>
      <c r="R34" s="390"/>
      <c r="AA34" s="76"/>
      <c r="AB34" s="76"/>
      <c r="AC34" s="76"/>
    </row>
    <row r="35" spans="2:29" ht="12.75">
      <c r="B35" s="531">
        <v>10</v>
      </c>
      <c r="C35" s="584">
        <v>0.9722222222222223</v>
      </c>
      <c r="D35" s="415"/>
      <c r="E35" s="531" t="s">
        <v>103</v>
      </c>
      <c r="F35" s="584">
        <v>0.9915980795610425</v>
      </c>
      <c r="G35" s="415"/>
      <c r="H35" s="531">
        <v>10</v>
      </c>
      <c r="I35" s="584">
        <v>1</v>
      </c>
      <c r="J35" s="407"/>
      <c r="K35" s="531" t="s">
        <v>89</v>
      </c>
      <c r="L35" s="584">
        <v>0.8263317329675355</v>
      </c>
      <c r="M35" s="415"/>
      <c r="N35" s="486"/>
      <c r="P35" s="115"/>
      <c r="Q35" s="401"/>
      <c r="R35" s="390"/>
      <c r="AA35" s="76"/>
      <c r="AB35" s="76"/>
      <c r="AC35" s="76"/>
    </row>
    <row r="36" spans="2:29" ht="12.75">
      <c r="B36" s="531" t="s">
        <v>90</v>
      </c>
      <c r="C36" s="584">
        <v>0.9444444444444444</v>
      </c>
      <c r="D36" s="415"/>
      <c r="E36" s="531">
        <v>10</v>
      </c>
      <c r="F36" s="584">
        <v>0.9814814814814814</v>
      </c>
      <c r="G36" s="415"/>
      <c r="H36" s="531" t="s">
        <v>103</v>
      </c>
      <c r="I36" s="584">
        <v>0.9994855967078188</v>
      </c>
      <c r="J36" s="407"/>
      <c r="K36" s="531">
        <v>10</v>
      </c>
      <c r="L36" s="584">
        <v>0.8179012345679012</v>
      </c>
      <c r="M36" s="415"/>
      <c r="N36" s="486"/>
      <c r="P36" s="115"/>
      <c r="Q36" s="401"/>
      <c r="R36" s="390"/>
      <c r="AA36" s="76"/>
      <c r="AB36" s="76"/>
      <c r="AC36" s="76"/>
    </row>
    <row r="37" spans="2:29" ht="12.75">
      <c r="B37" s="531">
        <v>8</v>
      </c>
      <c r="C37" s="584">
        <v>0.9166666666666667</v>
      </c>
      <c r="D37" s="415"/>
      <c r="E37" s="531" t="s">
        <v>104</v>
      </c>
      <c r="F37" s="584">
        <v>0.9814814814814815</v>
      </c>
      <c r="G37" s="415"/>
      <c r="H37" s="551" t="s">
        <v>104</v>
      </c>
      <c r="I37" s="585">
        <v>0.9953703703703703</v>
      </c>
      <c r="J37" s="407"/>
      <c r="K37" s="531" t="s">
        <v>91</v>
      </c>
      <c r="L37" s="584">
        <v>0.8179012345679013</v>
      </c>
      <c r="M37" s="415"/>
      <c r="N37" s="486"/>
      <c r="P37" s="115"/>
      <c r="Q37" s="401"/>
      <c r="R37" s="390"/>
      <c r="AA37" s="76"/>
      <c r="AB37" s="76"/>
      <c r="AC37" s="76"/>
    </row>
    <row r="38" spans="2:29" ht="12.75">
      <c r="B38" s="531" t="s">
        <v>92</v>
      </c>
      <c r="C38" s="584">
        <v>0.8888888888888888</v>
      </c>
      <c r="D38" s="415"/>
      <c r="E38" s="531" t="s">
        <v>105</v>
      </c>
      <c r="F38" s="584">
        <v>0.948559670781893</v>
      </c>
      <c r="G38" s="415"/>
      <c r="H38" s="561" t="s">
        <v>105</v>
      </c>
      <c r="I38" s="585">
        <v>0.9814814814814815</v>
      </c>
      <c r="J38" s="407"/>
      <c r="K38" s="531" t="s">
        <v>93</v>
      </c>
      <c r="L38" s="584">
        <v>0.7904663923182441</v>
      </c>
      <c r="M38" s="415"/>
      <c r="N38" s="486"/>
      <c r="P38" s="115"/>
      <c r="Q38" s="401"/>
      <c r="R38" s="390"/>
      <c r="AA38" s="76"/>
      <c r="AB38" s="76"/>
      <c r="AC38" s="76"/>
    </row>
    <row r="39" spans="2:29" ht="12.75">
      <c r="B39" s="531">
        <v>6</v>
      </c>
      <c r="C39" s="584">
        <v>0.8611111111111112</v>
      </c>
      <c r="D39" s="415"/>
      <c r="E39" s="531">
        <v>9</v>
      </c>
      <c r="F39" s="584">
        <v>0.9444444444444444</v>
      </c>
      <c r="G39" s="415"/>
      <c r="H39" s="586">
        <v>9</v>
      </c>
      <c r="I39" s="587">
        <v>0.9814814814814814</v>
      </c>
      <c r="J39" s="407"/>
      <c r="K39" s="531">
        <v>9</v>
      </c>
      <c r="L39" s="584">
        <v>0.7870370370370371</v>
      </c>
      <c r="M39" s="415"/>
      <c r="N39" s="486"/>
      <c r="P39" s="115"/>
      <c r="Q39" s="401"/>
      <c r="R39" s="390"/>
      <c r="AA39" s="76"/>
      <c r="AB39" s="76"/>
      <c r="AC39" s="76"/>
    </row>
    <row r="40" spans="2:29" ht="12.75">
      <c r="B40" s="531">
        <v>5</v>
      </c>
      <c r="C40" s="584">
        <v>0.8333333333333334</v>
      </c>
      <c r="D40" s="415"/>
      <c r="E40" s="531">
        <v>8</v>
      </c>
      <c r="F40" s="584">
        <v>0.8888888888888888</v>
      </c>
      <c r="G40" s="415"/>
      <c r="H40" s="588" t="s">
        <v>106</v>
      </c>
      <c r="I40" s="587">
        <v>0.948559670781893</v>
      </c>
      <c r="J40" s="407"/>
      <c r="K40" s="531">
        <v>8</v>
      </c>
      <c r="L40" s="584">
        <v>0.7407407407407407</v>
      </c>
      <c r="M40" s="415"/>
      <c r="N40" s="486"/>
      <c r="P40" s="115"/>
      <c r="Q40" s="401"/>
      <c r="R40" s="390"/>
      <c r="AA40" s="76"/>
      <c r="AB40" s="76"/>
      <c r="AC40" s="76"/>
    </row>
    <row r="41" spans="2:29" ht="12.75">
      <c r="B41" s="531" t="s">
        <v>94</v>
      </c>
      <c r="C41" s="584">
        <v>0.75</v>
      </c>
      <c r="D41" s="415"/>
      <c r="E41" s="531" t="s">
        <v>106</v>
      </c>
      <c r="F41" s="584">
        <v>0.8842592592592593</v>
      </c>
      <c r="G41" s="415"/>
      <c r="H41" s="531">
        <v>8</v>
      </c>
      <c r="I41" s="584">
        <v>0.9444444444444444</v>
      </c>
      <c r="J41" s="407"/>
      <c r="K41" s="531" t="s">
        <v>95</v>
      </c>
      <c r="L41" s="584">
        <v>0.7368827160493828</v>
      </c>
      <c r="M41" s="415"/>
      <c r="N41" s="486"/>
      <c r="P41" s="115"/>
      <c r="Q41" s="401"/>
      <c r="R41" s="390"/>
      <c r="AA41" s="76"/>
      <c r="AB41" s="76"/>
      <c r="AC41" s="76"/>
    </row>
    <row r="42" spans="2:29" ht="12.75">
      <c r="B42" s="531">
        <v>4</v>
      </c>
      <c r="C42" s="584">
        <v>0.6666666666666666</v>
      </c>
      <c r="D42" s="415"/>
      <c r="E42" s="531">
        <v>7</v>
      </c>
      <c r="F42" s="584">
        <v>0.8148148148148148</v>
      </c>
      <c r="G42" s="415"/>
      <c r="H42" s="531">
        <v>7</v>
      </c>
      <c r="I42" s="584">
        <v>0.8888888888888888</v>
      </c>
      <c r="J42" s="407"/>
      <c r="K42" s="531">
        <v>7</v>
      </c>
      <c r="L42" s="584">
        <v>0.6790123456790124</v>
      </c>
      <c r="M42" s="415"/>
      <c r="N42" s="486"/>
      <c r="P42" s="115"/>
      <c r="Q42" s="401"/>
      <c r="R42" s="390"/>
      <c r="AA42" s="76"/>
      <c r="AB42" s="76"/>
      <c r="AC42" s="76"/>
    </row>
    <row r="43" spans="2:29" ht="12.75">
      <c r="B43" s="531" t="s">
        <v>96</v>
      </c>
      <c r="C43" s="584">
        <v>0.5555555555555556</v>
      </c>
      <c r="D43" s="415"/>
      <c r="E43" s="531" t="s">
        <v>107</v>
      </c>
      <c r="F43" s="584">
        <v>0.7731481481481481</v>
      </c>
      <c r="G43" s="415"/>
      <c r="H43" s="531" t="s">
        <v>107</v>
      </c>
      <c r="I43" s="584">
        <v>0.8842592592592593</v>
      </c>
      <c r="J43" s="407"/>
      <c r="K43" s="531" t="s">
        <v>97</v>
      </c>
      <c r="L43" s="584">
        <v>0.6442901234567902</v>
      </c>
      <c r="M43" s="415"/>
      <c r="N43" s="486"/>
      <c r="P43" s="115"/>
      <c r="Q43" s="401"/>
      <c r="R43" s="390"/>
      <c r="AA43" s="76"/>
      <c r="AB43" s="76"/>
      <c r="AC43" s="76"/>
    </row>
    <row r="44" spans="2:29" ht="12.75">
      <c r="B44" s="531">
        <v>3</v>
      </c>
      <c r="C44" s="584">
        <v>0.5</v>
      </c>
      <c r="D44" s="415"/>
      <c r="E44" s="531">
        <v>6</v>
      </c>
      <c r="F44" s="584">
        <v>0.7222222222222222</v>
      </c>
      <c r="G44" s="415"/>
      <c r="H44" s="531">
        <v>6</v>
      </c>
      <c r="I44" s="584">
        <v>0.8148148148148148</v>
      </c>
      <c r="J44" s="407"/>
      <c r="K44" s="531">
        <v>6</v>
      </c>
      <c r="L44" s="584">
        <v>0.6018518518518519</v>
      </c>
      <c r="M44" s="415"/>
      <c r="N44" s="486"/>
      <c r="P44" s="115"/>
      <c r="Q44" s="401"/>
      <c r="R44" s="390"/>
      <c r="AA44" s="76"/>
      <c r="AB44" s="76"/>
      <c r="AC44" s="76"/>
    </row>
    <row r="45" spans="2:29" ht="12.75">
      <c r="B45" s="531">
        <v>2</v>
      </c>
      <c r="C45" s="584">
        <v>0.3333333333333333</v>
      </c>
      <c r="D45" s="415"/>
      <c r="E45" s="531" t="s">
        <v>108</v>
      </c>
      <c r="F45" s="584">
        <v>0.6522633744855967</v>
      </c>
      <c r="G45" s="415"/>
      <c r="H45" s="531" t="s">
        <v>108</v>
      </c>
      <c r="I45" s="584">
        <v>0.7731481481481481</v>
      </c>
      <c r="J45" s="407"/>
      <c r="K45" s="531" t="s">
        <v>98</v>
      </c>
      <c r="L45" s="584">
        <v>0.5435528120713305</v>
      </c>
      <c r="M45" s="415"/>
      <c r="N45" s="486"/>
      <c r="P45" s="115"/>
      <c r="Q45" s="401"/>
      <c r="R45" s="390"/>
      <c r="AA45" s="76"/>
      <c r="AB45" s="76"/>
      <c r="AC45" s="76"/>
    </row>
    <row r="46" spans="2:29" ht="12.75">
      <c r="B46" s="531" t="s">
        <v>99</v>
      </c>
      <c r="C46" s="584">
        <v>0.3055555555555556</v>
      </c>
      <c r="D46" s="415"/>
      <c r="E46" s="531">
        <v>5</v>
      </c>
      <c r="F46" s="584">
        <v>0.6111111111111112</v>
      </c>
      <c r="G46" s="415"/>
      <c r="H46" s="531">
        <v>5</v>
      </c>
      <c r="I46" s="584">
        <v>0.7222222222222222</v>
      </c>
      <c r="J46" s="407"/>
      <c r="K46" s="531">
        <v>5</v>
      </c>
      <c r="L46" s="584">
        <v>0.5092592592592593</v>
      </c>
      <c r="M46" s="415"/>
      <c r="N46" s="486"/>
      <c r="P46" s="115"/>
      <c r="Q46" s="401"/>
      <c r="R46" s="390"/>
      <c r="AA46" s="76"/>
      <c r="AB46" s="76"/>
      <c r="AC46" s="76"/>
    </row>
    <row r="47" spans="2:29" ht="12.75">
      <c r="B47" s="531">
        <v>1</v>
      </c>
      <c r="C47" s="584">
        <v>0.16666666666666666</v>
      </c>
      <c r="D47" s="415"/>
      <c r="E47" s="531" t="s">
        <v>109</v>
      </c>
      <c r="F47" s="584">
        <v>0.537037037037037</v>
      </c>
      <c r="G47" s="415"/>
      <c r="H47" s="531" t="s">
        <v>109</v>
      </c>
      <c r="I47" s="584">
        <v>0.6522633744855967</v>
      </c>
      <c r="J47" s="407"/>
      <c r="K47" s="531" t="s">
        <v>94</v>
      </c>
      <c r="L47" s="584">
        <v>0.44753086419753085</v>
      </c>
      <c r="M47" s="415"/>
      <c r="N47" s="486"/>
      <c r="P47" s="115"/>
      <c r="Q47" s="401"/>
      <c r="R47" s="390"/>
      <c r="AA47" s="76"/>
      <c r="AB47" s="76"/>
      <c r="AC47" s="76"/>
    </row>
    <row r="48" spans="5:29" ht="12.75">
      <c r="E48" s="531">
        <v>4</v>
      </c>
      <c r="F48" s="584">
        <v>0.5185185185185185</v>
      </c>
      <c r="G48" s="415"/>
      <c r="H48" s="531">
        <v>4</v>
      </c>
      <c r="I48" s="584">
        <v>0.6111111111111112</v>
      </c>
      <c r="J48" s="407"/>
      <c r="K48" s="531">
        <v>4</v>
      </c>
      <c r="L48" s="584">
        <v>0.43209876543209874</v>
      </c>
      <c r="M48" s="415"/>
      <c r="N48" s="486"/>
      <c r="P48" s="115"/>
      <c r="Q48" s="401"/>
      <c r="R48" s="390"/>
      <c r="AA48" s="76"/>
      <c r="AB48" s="76"/>
      <c r="AC48" s="76"/>
    </row>
    <row r="49" spans="5:29" ht="12.75">
      <c r="E49" s="531">
        <v>3</v>
      </c>
      <c r="F49" s="584">
        <v>0.4444444444444444</v>
      </c>
      <c r="G49" s="415"/>
      <c r="H49" s="531" t="s">
        <v>110</v>
      </c>
      <c r="I49" s="584">
        <v>0.537037037037037</v>
      </c>
      <c r="J49" s="407"/>
      <c r="K49" s="531">
        <v>3</v>
      </c>
      <c r="L49" s="584">
        <v>0.37037037037037035</v>
      </c>
      <c r="M49" s="415"/>
      <c r="N49" s="486"/>
      <c r="P49" s="115"/>
      <c r="Q49" s="401"/>
      <c r="R49" s="390"/>
      <c r="AA49" s="76"/>
      <c r="AB49" s="76"/>
      <c r="AC49" s="76"/>
    </row>
    <row r="50" spans="5:29" ht="12.75">
      <c r="E50" s="531" t="s">
        <v>110</v>
      </c>
      <c r="F50" s="584">
        <v>0.43981481481481477</v>
      </c>
      <c r="G50" s="415"/>
      <c r="H50" s="531">
        <v>3</v>
      </c>
      <c r="I50" s="584">
        <v>0.5185185185185185</v>
      </c>
      <c r="J50" s="407"/>
      <c r="K50" s="531" t="s">
        <v>96</v>
      </c>
      <c r="L50" s="584">
        <v>0.3665123456790123</v>
      </c>
      <c r="M50" s="415"/>
      <c r="N50" s="486"/>
      <c r="P50" s="115"/>
      <c r="Q50" s="401"/>
      <c r="R50" s="390"/>
      <c r="AA50" s="76"/>
      <c r="AB50" s="76"/>
      <c r="AC50" s="76"/>
    </row>
    <row r="51" spans="5:29" ht="12.75">
      <c r="E51" s="531">
        <v>2</v>
      </c>
      <c r="F51" s="584">
        <v>0.38888888888888884</v>
      </c>
      <c r="G51" s="415"/>
      <c r="H51" s="531">
        <v>2</v>
      </c>
      <c r="I51" s="584">
        <v>0.4444444444444444</v>
      </c>
      <c r="J51" s="407"/>
      <c r="K51" s="531">
        <v>2</v>
      </c>
      <c r="L51" s="584">
        <v>0.32407407407407407</v>
      </c>
      <c r="M51" s="415"/>
      <c r="N51" s="486"/>
      <c r="P51" s="115"/>
      <c r="Q51" s="401"/>
      <c r="R51" s="390"/>
      <c r="AA51" s="76"/>
      <c r="AB51" s="76"/>
      <c r="AC51" s="76"/>
    </row>
    <row r="52" spans="5:29" ht="12.75">
      <c r="E52" s="531" t="s">
        <v>111</v>
      </c>
      <c r="F52" s="584">
        <v>0.3698559670781893</v>
      </c>
      <c r="G52" s="415"/>
      <c r="H52" s="531" t="s">
        <v>111</v>
      </c>
      <c r="I52" s="584">
        <v>0.43981481481481477</v>
      </c>
      <c r="J52" s="407"/>
      <c r="K52" s="531" t="s">
        <v>99</v>
      </c>
      <c r="L52" s="584">
        <v>0.3082133058984911</v>
      </c>
      <c r="M52" s="415"/>
      <c r="N52" s="486"/>
      <c r="P52" s="115"/>
      <c r="Q52" s="401"/>
      <c r="R52" s="390"/>
      <c r="AA52" s="76"/>
      <c r="AB52" s="76"/>
      <c r="AC52" s="76"/>
    </row>
    <row r="53" spans="5:29" ht="12.75">
      <c r="E53" s="531">
        <v>1</v>
      </c>
      <c r="F53" s="584">
        <v>0.35185185185185186</v>
      </c>
      <c r="G53" s="415"/>
      <c r="H53" s="531">
        <v>1</v>
      </c>
      <c r="I53" s="584">
        <v>0.38888888888888884</v>
      </c>
      <c r="J53" s="407"/>
      <c r="K53" s="531">
        <v>1</v>
      </c>
      <c r="L53" s="584">
        <v>0.2932098765432099</v>
      </c>
      <c r="M53" s="415"/>
      <c r="N53" s="486"/>
      <c r="O53" s="486"/>
      <c r="P53" s="115"/>
      <c r="Q53" s="401"/>
      <c r="R53" s="390"/>
      <c r="AA53" s="76"/>
      <c r="AB53" s="76"/>
      <c r="AC53" s="76"/>
    </row>
    <row r="54" spans="16:29" ht="12.75">
      <c r="P54" s="115"/>
      <c r="Q54" s="401"/>
      <c r="R54" s="390"/>
      <c r="AA54" s="76"/>
      <c r="AB54" s="76"/>
      <c r="AC54" s="76"/>
    </row>
    <row r="55" spans="27:29" ht="13.5" thickBot="1">
      <c r="AA55" s="76"/>
      <c r="AB55" s="76"/>
      <c r="AC55" s="76"/>
    </row>
    <row r="56" spans="1:29" ht="16.5" thickBot="1">
      <c r="A56" s="391"/>
      <c r="B56" s="416" t="s">
        <v>11</v>
      </c>
      <c r="C56" s="417" t="s">
        <v>17</v>
      </c>
      <c r="D56" s="418"/>
      <c r="E56" s="418"/>
      <c r="F56" s="418"/>
      <c r="G56" s="418"/>
      <c r="H56" s="419"/>
      <c r="I56" s="738" t="s">
        <v>124</v>
      </c>
      <c r="J56" s="722"/>
      <c r="K56" s="738" t="s">
        <v>119</v>
      </c>
      <c r="L56" s="732"/>
      <c r="M56" s="735" t="s">
        <v>59</v>
      </c>
      <c r="N56" s="737"/>
      <c r="O56" s="735" t="s">
        <v>115</v>
      </c>
      <c r="P56" s="726"/>
      <c r="Q56" s="702" t="s">
        <v>117</v>
      </c>
      <c r="R56" s="703"/>
      <c r="S56" s="704"/>
      <c r="T56" s="723" t="s">
        <v>127</v>
      </c>
      <c r="U56" s="724"/>
      <c r="V56" s="724"/>
      <c r="W56" s="724"/>
      <c r="X56" s="724"/>
      <c r="Y56" s="724"/>
      <c r="Z56" s="725"/>
      <c r="AA56" s="76"/>
      <c r="AB56" s="76"/>
      <c r="AC56" s="76"/>
    </row>
    <row r="57" spans="1:29" ht="13.5" thickBot="1">
      <c r="A57" s="389"/>
      <c r="B57" s="398"/>
      <c r="C57" s="398"/>
      <c r="D57" s="398"/>
      <c r="E57" s="398"/>
      <c r="F57" s="398"/>
      <c r="G57" s="398"/>
      <c r="H57" s="398"/>
      <c r="I57" s="452" t="s">
        <v>19</v>
      </c>
      <c r="J57" s="452" t="s">
        <v>20</v>
      </c>
      <c r="K57" s="351" t="s">
        <v>120</v>
      </c>
      <c r="L57" s="428" t="s">
        <v>121</v>
      </c>
      <c r="M57" s="476" t="s">
        <v>0</v>
      </c>
      <c r="N57" s="477" t="s">
        <v>116</v>
      </c>
      <c r="O57" s="463" t="s">
        <v>0</v>
      </c>
      <c r="P57" s="589" t="s">
        <v>116</v>
      </c>
      <c r="Q57" s="593" t="s">
        <v>118</v>
      </c>
      <c r="R57" s="594" t="s">
        <v>114</v>
      </c>
      <c r="S57" s="595" t="s">
        <v>116</v>
      </c>
      <c r="T57" s="596">
        <v>1</v>
      </c>
      <c r="U57" s="568">
        <v>2</v>
      </c>
      <c r="V57" s="568">
        <v>3</v>
      </c>
      <c r="W57" s="568">
        <v>4</v>
      </c>
      <c r="X57" s="568">
        <v>5</v>
      </c>
      <c r="Y57" s="568">
        <v>6</v>
      </c>
      <c r="Z57" s="569" t="s">
        <v>28</v>
      </c>
      <c r="AA57" s="76"/>
      <c r="AB57" s="76"/>
      <c r="AC57" s="76"/>
    </row>
    <row r="58" spans="1:29" ht="13.5" thickBot="1">
      <c r="A58" s="392"/>
      <c r="B58" s="421" t="s">
        <v>12</v>
      </c>
      <c r="C58" s="422"/>
      <c r="D58" s="422"/>
      <c r="E58" s="422"/>
      <c r="F58" s="422"/>
      <c r="G58" s="422"/>
      <c r="H58" s="423"/>
      <c r="I58" s="350">
        <f>SUM(I59:I90)</f>
        <v>0</v>
      </c>
      <c r="J58" s="350">
        <f>SUM(J59:J90)</f>
        <v>0</v>
      </c>
      <c r="K58" s="350"/>
      <c r="L58" s="350">
        <f>SUM(L59:L90)</f>
        <v>0</v>
      </c>
      <c r="M58" s="459">
        <f>SUM(M59:M90)</f>
        <v>30</v>
      </c>
      <c r="N58" s="466">
        <f>SUM(N59:N90)</f>
        <v>0</v>
      </c>
      <c r="O58" s="459">
        <f>SUM(O59:O90)</f>
        <v>40.35714285714285</v>
      </c>
      <c r="P58" s="459">
        <f>SUM(P59:P90)</f>
        <v>0</v>
      </c>
      <c r="Q58" s="597"/>
      <c r="R58" s="597"/>
      <c r="S58" s="501">
        <f>SUM(S59:S90)</f>
        <v>0</v>
      </c>
      <c r="T58" s="598"/>
      <c r="U58" s="599"/>
      <c r="V58" s="599"/>
      <c r="W58" s="599"/>
      <c r="X58" s="599"/>
      <c r="Y58" s="599"/>
      <c r="Z58" s="600"/>
      <c r="AA58" s="76"/>
      <c r="AB58" s="76"/>
      <c r="AC58" s="76"/>
    </row>
    <row r="59" spans="1:29" ht="15.75">
      <c r="A59" s="393">
        <v>1</v>
      </c>
      <c r="B59" s="424" t="s">
        <v>418</v>
      </c>
      <c r="C59" s="390"/>
      <c r="D59" s="390"/>
      <c r="I59" s="425"/>
      <c r="J59" s="408"/>
      <c r="K59" s="425"/>
      <c r="L59" s="425"/>
      <c r="M59" s="467"/>
      <c r="N59" s="467"/>
      <c r="O59" s="467"/>
      <c r="P59" s="467"/>
      <c r="Q59" s="467"/>
      <c r="R59" s="467"/>
      <c r="S59" s="468"/>
      <c r="T59" s="601"/>
      <c r="U59" s="602"/>
      <c r="V59" s="602"/>
      <c r="W59" s="602"/>
      <c r="X59" s="602"/>
      <c r="Y59" s="602"/>
      <c r="Z59" s="603"/>
      <c r="AA59" s="76"/>
      <c r="AB59" s="76"/>
      <c r="AC59" s="76"/>
    </row>
    <row r="60" spans="1:29" ht="15.75">
      <c r="A60" s="393"/>
      <c r="B60" s="426" t="s">
        <v>19</v>
      </c>
      <c r="C60" s="390"/>
      <c r="D60" s="390"/>
      <c r="I60" s="425"/>
      <c r="J60" s="408"/>
      <c r="K60" s="425"/>
      <c r="L60" s="425"/>
      <c r="M60" s="467"/>
      <c r="N60" s="467"/>
      <c r="O60" s="467"/>
      <c r="P60" s="467"/>
      <c r="Q60" s="467"/>
      <c r="R60" s="467"/>
      <c r="S60" s="468"/>
      <c r="T60" s="601"/>
      <c r="U60" s="602"/>
      <c r="V60" s="602"/>
      <c r="W60" s="602"/>
      <c r="X60" s="602"/>
      <c r="Y60" s="602"/>
      <c r="Z60" s="603"/>
      <c r="AA60" s="76"/>
      <c r="AB60" s="76"/>
      <c r="AC60" s="76"/>
    </row>
    <row r="61" spans="1:29" ht="15.75">
      <c r="A61" s="393"/>
      <c r="B61" s="426"/>
      <c r="C61" s="390" t="s">
        <v>113</v>
      </c>
      <c r="D61" s="390"/>
      <c r="I61" s="425">
        <f>'CUARTEL GENERAL'!H27+'CUARTEL GENERAL'!H40+'CUARTEL GENERAL'!H57+'CUARTEL GENERAL'!H73</f>
        <v>0</v>
      </c>
      <c r="J61" s="408"/>
      <c r="K61" s="425">
        <v>1</v>
      </c>
      <c r="L61" s="425">
        <f>K61*(I61+J61)</f>
        <v>0</v>
      </c>
      <c r="M61" s="467">
        <f>C20</f>
        <v>0.8333333333333333</v>
      </c>
      <c r="N61" s="467">
        <f>L61*M61</f>
        <v>0</v>
      </c>
      <c r="O61" s="467">
        <f>G23</f>
        <v>1.0714285714285714</v>
      </c>
      <c r="P61" s="467">
        <f aca="true" t="shared" si="0" ref="P61:P70">O61*L61</f>
        <v>0</v>
      </c>
      <c r="Q61" s="467">
        <f>L23</f>
        <v>2.571428571428571</v>
      </c>
      <c r="R61" s="467">
        <v>0.8333333333333334</v>
      </c>
      <c r="S61" s="468">
        <f aca="true" t="shared" si="1" ref="S61:S70">L61*Q61*R61</f>
        <v>0</v>
      </c>
      <c r="T61" s="601"/>
      <c r="U61" s="602"/>
      <c r="V61" s="602"/>
      <c r="W61" s="602"/>
      <c r="X61" s="604">
        <f>S61</f>
        <v>0</v>
      </c>
      <c r="Y61" s="602"/>
      <c r="Z61" s="603"/>
      <c r="AA61" s="76"/>
      <c r="AB61" s="76"/>
      <c r="AC61" s="76"/>
    </row>
    <row r="62" spans="1:29" ht="15.75">
      <c r="A62" s="393"/>
      <c r="B62" s="426"/>
      <c r="C62" s="390" t="s">
        <v>411</v>
      </c>
      <c r="D62" s="390"/>
      <c r="I62" s="425">
        <f>'CUARTEL GENERAL'!E22+'CUARTEL GENERAL'!E23</f>
        <v>0</v>
      </c>
      <c r="J62" s="408"/>
      <c r="K62" s="425">
        <v>1</v>
      </c>
      <c r="L62" s="425">
        <f>K62*(I62+J62)</f>
        <v>0</v>
      </c>
      <c r="M62" s="467">
        <f>M61</f>
        <v>0.8333333333333333</v>
      </c>
      <c r="N62" s="467">
        <f aca="true" t="shared" si="2" ref="N62:N70">L62*M62</f>
        <v>0</v>
      </c>
      <c r="O62" s="467">
        <f>O61</f>
        <v>1.0714285714285714</v>
      </c>
      <c r="P62" s="467">
        <f t="shared" si="0"/>
        <v>0</v>
      </c>
      <c r="Q62" s="467">
        <f>Q61</f>
        <v>2.571428571428571</v>
      </c>
      <c r="R62" s="467">
        <v>0.9444444444444444</v>
      </c>
      <c r="S62" s="468">
        <f t="shared" si="1"/>
        <v>0</v>
      </c>
      <c r="T62" s="601"/>
      <c r="U62" s="602"/>
      <c r="V62" s="602"/>
      <c r="W62" s="602"/>
      <c r="X62" s="604">
        <f>S62</f>
        <v>0</v>
      </c>
      <c r="Y62" s="602"/>
      <c r="Z62" s="603"/>
      <c r="AA62" s="76"/>
      <c r="AB62" s="76"/>
      <c r="AC62" s="76"/>
    </row>
    <row r="63" spans="1:29" ht="15.75">
      <c r="A63" s="393"/>
      <c r="B63" s="426"/>
      <c r="C63" s="390" t="s">
        <v>274</v>
      </c>
      <c r="D63" s="390"/>
      <c r="I63" s="425">
        <f>'CUARTEL GENERAL'!H32+'CUARTEL GENERAL'!H35+'CUARTEL GENERAL'!H45+'CUARTEL GENERAL'!H48+'CUARTEL GENERAL'!H62+'CUARTEL GENERAL'!H78+'CUARTEL GENERAL'!H81</f>
        <v>0</v>
      </c>
      <c r="J63" s="408"/>
      <c r="K63" s="425">
        <v>1</v>
      </c>
      <c r="L63" s="425">
        <f>K63*(I63+J63)</f>
        <v>0</v>
      </c>
      <c r="M63" s="467">
        <f>C20</f>
        <v>0.8333333333333333</v>
      </c>
      <c r="N63" s="467">
        <f t="shared" si="2"/>
        <v>0</v>
      </c>
      <c r="O63" s="467">
        <f>G23</f>
        <v>1.0714285714285714</v>
      </c>
      <c r="P63" s="467">
        <f t="shared" si="0"/>
        <v>0</v>
      </c>
      <c r="Q63" s="467">
        <f>L15</f>
        <v>4.2857142857142865</v>
      </c>
      <c r="R63" s="467">
        <v>0.8333333333333334</v>
      </c>
      <c r="S63" s="468">
        <f t="shared" si="1"/>
        <v>0</v>
      </c>
      <c r="T63" s="601"/>
      <c r="U63" s="604">
        <f>S63</f>
        <v>0</v>
      </c>
      <c r="V63" s="602"/>
      <c r="W63" s="602"/>
      <c r="X63" s="604"/>
      <c r="Y63" s="602"/>
      <c r="Z63" s="603"/>
      <c r="AA63" s="76"/>
      <c r="AB63" s="76"/>
      <c r="AC63" s="76"/>
    </row>
    <row r="64" spans="1:29" ht="15.75">
      <c r="A64" s="393"/>
      <c r="B64" s="426"/>
      <c r="C64" s="390" t="s">
        <v>416</v>
      </c>
      <c r="D64" s="390"/>
      <c r="I64" s="425">
        <f>'CUARTEL GENERAL'!H30+'CUARTEL GENERAL'!H43+'CUARTEL GENERAL'!H60+'CUARTEL GENERAL'!H76</f>
        <v>0</v>
      </c>
      <c r="J64" s="408"/>
      <c r="K64" s="425">
        <v>1.5</v>
      </c>
      <c r="L64" s="425">
        <f>K64*(I64+J64)</f>
        <v>0</v>
      </c>
      <c r="M64" s="467">
        <f>C19</f>
        <v>1.25</v>
      </c>
      <c r="N64" s="467">
        <f t="shared" si="2"/>
        <v>0</v>
      </c>
      <c r="O64" s="467">
        <f>G22</f>
        <v>1.4285714285714284</v>
      </c>
      <c r="P64" s="467">
        <f t="shared" si="0"/>
        <v>0</v>
      </c>
      <c r="Q64" s="467">
        <f>L23</f>
        <v>2.571428571428571</v>
      </c>
      <c r="R64" s="467">
        <v>0.8333333333333334</v>
      </c>
      <c r="S64" s="468">
        <f t="shared" si="1"/>
        <v>0</v>
      </c>
      <c r="T64" s="601"/>
      <c r="U64" s="604"/>
      <c r="V64" s="602"/>
      <c r="W64" s="602"/>
      <c r="X64" s="604">
        <f>S64</f>
        <v>0</v>
      </c>
      <c r="Y64" s="602"/>
      <c r="Z64" s="603"/>
      <c r="AA64" s="76"/>
      <c r="AB64" s="76"/>
      <c r="AC64" s="76"/>
    </row>
    <row r="65" spans="1:29" ht="15.75">
      <c r="A65" s="393"/>
      <c r="B65" s="426"/>
      <c r="C65" s="390" t="s">
        <v>417</v>
      </c>
      <c r="D65" s="390"/>
      <c r="I65" s="425">
        <f>'CUARTEL GENERAL'!H51+'CUARTEL GENERAL'!H54+'CUARTEL GENERAL'!H67+'CUARTEL GENERAL'!H70+'CUARTEL GENERAL'!H84+'CUARTEL GENERAL'!H87</f>
        <v>0</v>
      </c>
      <c r="J65" s="408"/>
      <c r="K65" s="425">
        <v>1.5</v>
      </c>
      <c r="L65" s="425">
        <f>L64</f>
        <v>0</v>
      </c>
      <c r="M65" s="467">
        <f>C19</f>
        <v>1.25</v>
      </c>
      <c r="N65" s="467">
        <f t="shared" si="2"/>
        <v>0</v>
      </c>
      <c r="O65" s="467">
        <f>G21</f>
        <v>1.7857142857142858</v>
      </c>
      <c r="P65" s="467">
        <f t="shared" si="0"/>
        <v>0</v>
      </c>
      <c r="Q65" s="467">
        <f>L23</f>
        <v>2.571428571428571</v>
      </c>
      <c r="R65" s="467">
        <v>0.9444444444444444</v>
      </c>
      <c r="S65" s="468">
        <f t="shared" si="1"/>
        <v>0</v>
      </c>
      <c r="T65" s="601"/>
      <c r="U65" s="604"/>
      <c r="V65" s="602"/>
      <c r="W65" s="602"/>
      <c r="X65" s="604">
        <f>S65</f>
        <v>0</v>
      </c>
      <c r="Y65" s="602"/>
      <c r="Z65" s="603"/>
      <c r="AA65" s="76"/>
      <c r="AB65" s="76"/>
      <c r="AC65" s="76"/>
    </row>
    <row r="66" spans="1:29" ht="15.75">
      <c r="A66" s="393"/>
      <c r="B66" s="426"/>
      <c r="C66" s="390" t="s">
        <v>122</v>
      </c>
      <c r="D66" s="390"/>
      <c r="I66" s="425">
        <f>'CUARTEL GENERAL'!E12+'CUARTEL GENERAL'!H28+'CUARTEL GENERAL'!H33+'CUARTEL GENERAL'!H41+'CUARTEL GENERAL'!H46+'CUARTEL GENERAL'!H50+'CUARTEL GENERAL'!H52+'CUARTEL GENERAL'!H58+'CUARTEL GENERAL'!H63+'CUARTEL GENERAL'!H68+'CUARTEL GENERAL'!H74+'CUARTEL GENERAL'!H79+'CUARTEL GENERAL'!H83+'CUARTEL GENERAL'!H85</f>
        <v>0</v>
      </c>
      <c r="J66" s="408"/>
      <c r="K66" s="425">
        <v>2</v>
      </c>
      <c r="L66" s="425">
        <f>K66*(I66+J66)</f>
        <v>0</v>
      </c>
      <c r="M66" s="467">
        <f>C18</f>
        <v>1.6666666666666665</v>
      </c>
      <c r="N66" s="467">
        <f t="shared" si="2"/>
        <v>0</v>
      </c>
      <c r="O66" s="467">
        <f>G21</f>
        <v>1.7857142857142858</v>
      </c>
      <c r="P66" s="467">
        <f t="shared" si="0"/>
        <v>0</v>
      </c>
      <c r="Q66" s="467">
        <f>L23</f>
        <v>2.571428571428571</v>
      </c>
      <c r="R66" s="467">
        <v>0.8333333333333334</v>
      </c>
      <c r="S66" s="468">
        <f t="shared" si="1"/>
        <v>0</v>
      </c>
      <c r="T66" s="601"/>
      <c r="U66" s="602"/>
      <c r="V66" s="602"/>
      <c r="W66" s="602"/>
      <c r="X66" s="604">
        <f>S66</f>
        <v>0</v>
      </c>
      <c r="Y66" s="602"/>
      <c r="Z66" s="603"/>
      <c r="AA66" s="76"/>
      <c r="AB66" s="76"/>
      <c r="AC66" s="76"/>
    </row>
    <row r="67" spans="1:29" ht="15.75">
      <c r="A67" s="393"/>
      <c r="B67" s="426"/>
      <c r="C67" s="390" t="s">
        <v>412</v>
      </c>
      <c r="D67" s="390"/>
      <c r="I67" s="425">
        <f>'CUARTEL GENERAL'!H29+'CUARTEL GENERAL'!H34+'CUARTEL GENERAL'!H42+'CUARTEL GENERAL'!H47+'CUARTEL GENERAL'!H53+'CUARTEL GENERAL'!H59+'CUARTEL GENERAL'!H64+'CUARTEL GENERAL'!H69+'CUARTEL GENERAL'!H75+'CUARTEL GENERAL'!H80+'CUARTEL GENERAL'!H86</f>
        <v>0</v>
      </c>
      <c r="J67" s="408"/>
      <c r="K67" s="425">
        <v>1.5</v>
      </c>
      <c r="L67" s="425">
        <f>K67*(I67+J67)</f>
        <v>0</v>
      </c>
      <c r="M67" s="467">
        <f>C19</f>
        <v>1.25</v>
      </c>
      <c r="N67" s="467">
        <f t="shared" si="2"/>
        <v>0</v>
      </c>
      <c r="O67" s="467">
        <f>G22</f>
        <v>1.4285714285714284</v>
      </c>
      <c r="P67" s="467">
        <f t="shared" si="0"/>
        <v>0</v>
      </c>
      <c r="Q67" s="467">
        <f>L15</f>
        <v>4.2857142857142865</v>
      </c>
      <c r="R67" s="467">
        <v>0.8333333333333334</v>
      </c>
      <c r="S67" s="468">
        <f t="shared" si="1"/>
        <v>0</v>
      </c>
      <c r="T67" s="601"/>
      <c r="U67" s="604">
        <f>S67</f>
        <v>0</v>
      </c>
      <c r="V67" s="602"/>
      <c r="W67" s="602"/>
      <c r="X67" s="604"/>
      <c r="Y67" s="602"/>
      <c r="Z67" s="603"/>
      <c r="AA67" s="76"/>
      <c r="AB67" s="76"/>
      <c r="AC67" s="76"/>
    </row>
    <row r="68" spans="1:29" ht="15.75">
      <c r="A68" s="393"/>
      <c r="B68" s="426"/>
      <c r="C68" s="390" t="s">
        <v>413</v>
      </c>
      <c r="D68" s="390"/>
      <c r="I68" s="425">
        <f>'CUARTEL GENERAL'!E5+'CUARTEL GENERAL'!E6</f>
        <v>0</v>
      </c>
      <c r="J68" s="408"/>
      <c r="K68" s="425">
        <v>1.5</v>
      </c>
      <c r="L68" s="425">
        <f>K68*(I68+J68)</f>
        <v>0</v>
      </c>
      <c r="M68" s="425">
        <f>M67</f>
        <v>1.25</v>
      </c>
      <c r="N68" s="467">
        <f t="shared" si="2"/>
        <v>0</v>
      </c>
      <c r="O68" s="468">
        <f>O67</f>
        <v>1.4285714285714284</v>
      </c>
      <c r="P68" s="467">
        <f t="shared" si="0"/>
        <v>0</v>
      </c>
      <c r="Q68" s="468">
        <f>Q67</f>
        <v>4.2857142857142865</v>
      </c>
      <c r="R68" s="467">
        <v>0.9444444444444444</v>
      </c>
      <c r="S68" s="468">
        <f t="shared" si="1"/>
        <v>0</v>
      </c>
      <c r="T68" s="601"/>
      <c r="U68" s="604">
        <f>S68</f>
        <v>0</v>
      </c>
      <c r="V68" s="602"/>
      <c r="W68" s="602"/>
      <c r="X68" s="604"/>
      <c r="Y68" s="602"/>
      <c r="Z68" s="603"/>
      <c r="AA68" s="76"/>
      <c r="AB68" s="76"/>
      <c r="AC68" s="76"/>
    </row>
    <row r="69" spans="1:29" ht="15.75">
      <c r="A69" s="393"/>
      <c r="B69" s="426"/>
      <c r="C69" s="390" t="s">
        <v>414</v>
      </c>
      <c r="D69" s="390"/>
      <c r="I69" s="425"/>
      <c r="J69" s="408"/>
      <c r="K69" s="425">
        <v>1</v>
      </c>
      <c r="L69" s="425">
        <f>K69*(I69+J69)</f>
        <v>0</v>
      </c>
      <c r="M69" s="468">
        <f>C20</f>
        <v>0.8333333333333333</v>
      </c>
      <c r="N69" s="467">
        <f t="shared" si="2"/>
        <v>0</v>
      </c>
      <c r="O69" s="468">
        <f>G23</f>
        <v>1.0714285714285714</v>
      </c>
      <c r="P69" s="467">
        <f t="shared" si="0"/>
        <v>0</v>
      </c>
      <c r="Q69" s="468">
        <f>L15</f>
        <v>4.2857142857142865</v>
      </c>
      <c r="R69" s="467">
        <v>0.8333333333333334</v>
      </c>
      <c r="S69" s="468">
        <f t="shared" si="1"/>
        <v>0</v>
      </c>
      <c r="T69" s="604">
        <f>S69</f>
        <v>0</v>
      </c>
      <c r="U69" s="604"/>
      <c r="V69" s="602"/>
      <c r="W69" s="602"/>
      <c r="Y69" s="602"/>
      <c r="Z69" s="603"/>
      <c r="AA69" s="76"/>
      <c r="AB69" s="76"/>
      <c r="AC69" s="76"/>
    </row>
    <row r="70" spans="1:29" ht="15.75">
      <c r="A70" s="393"/>
      <c r="B70" s="426"/>
      <c r="C70" s="390" t="s">
        <v>415</v>
      </c>
      <c r="D70" s="390"/>
      <c r="I70" s="425">
        <f>'CUARTEL GENERAL'!H31+'CUARTEL GENERAL'!H36+'CUARTEL GENERAL'!H44+'CUARTEL GENERAL'!H49+'CUARTEL GENERAL'!H55+'CUARTEL GENERAL'!H61+'CUARTEL GENERAL'!H66+'CUARTEL GENERAL'!H71+'CUARTEL GENERAL'!H77+'CUARTEL GENERAL'!H82+'CUARTEL GENERAL'!H88</f>
        <v>0</v>
      </c>
      <c r="J70" s="408"/>
      <c r="K70" s="425">
        <v>4</v>
      </c>
      <c r="L70" s="425">
        <f>K70*(I70+J70)</f>
        <v>0</v>
      </c>
      <c r="M70" s="468" t="str">
        <f>C21</f>
        <v>0.5</v>
      </c>
      <c r="N70" s="467">
        <f t="shared" si="2"/>
        <v>0</v>
      </c>
      <c r="O70" s="468">
        <f>G26</f>
        <v>0.5</v>
      </c>
      <c r="P70" s="467">
        <f t="shared" si="0"/>
        <v>0</v>
      </c>
      <c r="Q70" s="468">
        <f>L23</f>
        <v>2.571428571428571</v>
      </c>
      <c r="R70" s="467">
        <v>1</v>
      </c>
      <c r="S70" s="468">
        <f t="shared" si="1"/>
        <v>0</v>
      </c>
      <c r="T70" s="601"/>
      <c r="U70" s="604"/>
      <c r="V70" s="602"/>
      <c r="W70" s="602"/>
      <c r="X70" s="605">
        <f>S70</f>
        <v>0</v>
      </c>
      <c r="Y70" s="602"/>
      <c r="Z70" s="603"/>
      <c r="AA70" s="76"/>
      <c r="AB70" s="76"/>
      <c r="AC70" s="76"/>
    </row>
    <row r="71" spans="1:29" ht="15.75">
      <c r="A71" s="393"/>
      <c r="B71" s="426" t="s">
        <v>419</v>
      </c>
      <c r="C71" s="390"/>
      <c r="D71" s="390"/>
      <c r="I71" s="425"/>
      <c r="J71" s="408"/>
      <c r="K71" s="425"/>
      <c r="L71" s="425"/>
      <c r="M71" s="468"/>
      <c r="N71" s="467"/>
      <c r="O71" s="468"/>
      <c r="P71" s="467"/>
      <c r="Q71" s="468"/>
      <c r="R71" s="467"/>
      <c r="S71" s="468"/>
      <c r="T71" s="601"/>
      <c r="U71" s="604"/>
      <c r="V71" s="602"/>
      <c r="W71" s="602"/>
      <c r="X71" s="605"/>
      <c r="Y71" s="602"/>
      <c r="Z71" s="603"/>
      <c r="AA71" s="76"/>
      <c r="AB71" s="76"/>
      <c r="AC71" s="76"/>
    </row>
    <row r="72" spans="1:29" ht="15.75">
      <c r="A72" s="393"/>
      <c r="B72" s="426"/>
      <c r="C72" s="390" t="s">
        <v>113</v>
      </c>
      <c r="D72" s="390"/>
      <c r="I72" s="425">
        <f>'CUARTEL GENERAL'!I27+'CUARTEL GENERAL'!I40+'CUARTEL GENERAL'!I57+'CUARTEL GENERAL'!I73</f>
        <v>0</v>
      </c>
      <c r="J72" s="408"/>
      <c r="K72" s="425">
        <v>1</v>
      </c>
      <c r="L72" s="425">
        <f aca="true" t="shared" si="3" ref="L72:L90">K72*(I72+J72)</f>
        <v>0</v>
      </c>
      <c r="M72" s="467">
        <f>M61</f>
        <v>0.8333333333333333</v>
      </c>
      <c r="N72" s="467">
        <f>L72*M72</f>
        <v>0</v>
      </c>
      <c r="O72" s="467">
        <f>G22</f>
        <v>1.4285714285714284</v>
      </c>
      <c r="P72" s="467">
        <f aca="true" t="shared" si="4" ref="P72:P90">O72*L72</f>
        <v>0</v>
      </c>
      <c r="Q72" s="467">
        <f>Q61</f>
        <v>2.571428571428571</v>
      </c>
      <c r="R72" s="467">
        <v>0.8333333333333334</v>
      </c>
      <c r="S72" s="468">
        <f aca="true" t="shared" si="5" ref="S72:S90">L72*Q72*R72</f>
        <v>0</v>
      </c>
      <c r="T72" s="601"/>
      <c r="U72" s="602"/>
      <c r="V72" s="602"/>
      <c r="W72" s="602"/>
      <c r="X72" s="604">
        <f>S72</f>
        <v>0</v>
      </c>
      <c r="Y72" s="602"/>
      <c r="Z72" s="603"/>
      <c r="AA72" s="76"/>
      <c r="AB72" s="76"/>
      <c r="AC72" s="76"/>
    </row>
    <row r="73" spans="1:29" ht="15.75">
      <c r="A73" s="393"/>
      <c r="B73" s="426"/>
      <c r="C73" s="390" t="s">
        <v>274</v>
      </c>
      <c r="D73" s="390"/>
      <c r="I73" s="425">
        <f>'CUARTEL GENERAL'!I32+'CUARTEL GENERAL'!I35+'CUARTEL GENERAL'!I45+'CUARTEL GENERAL'!I48+'CUARTEL GENERAL'!I62+'CUARTEL GENERAL'!I65+'CUARTEL GENERAL'!I78+'CUARTEL GENERAL'!I81</f>
        <v>0</v>
      </c>
      <c r="J73" s="408"/>
      <c r="K73" s="425">
        <v>1</v>
      </c>
      <c r="L73" s="425">
        <f t="shared" si="3"/>
        <v>0</v>
      </c>
      <c r="M73" s="467">
        <f>M63</f>
        <v>0.8333333333333333</v>
      </c>
      <c r="N73" s="467">
        <f aca="true" t="shared" si="6" ref="N73:N90">L73*M73</f>
        <v>0</v>
      </c>
      <c r="O73" s="467">
        <f>G22</f>
        <v>1.4285714285714284</v>
      </c>
      <c r="P73" s="467">
        <f t="shared" si="4"/>
        <v>0</v>
      </c>
      <c r="Q73" s="467">
        <f>Q63</f>
        <v>4.2857142857142865</v>
      </c>
      <c r="R73" s="467">
        <v>0.8333333333333334</v>
      </c>
      <c r="S73" s="468">
        <f t="shared" si="5"/>
        <v>0</v>
      </c>
      <c r="T73" s="601"/>
      <c r="U73" s="604">
        <f>S73</f>
        <v>0</v>
      </c>
      <c r="V73" s="602"/>
      <c r="W73" s="602"/>
      <c r="X73" s="604"/>
      <c r="Y73" s="602"/>
      <c r="Z73" s="603"/>
      <c r="AA73" s="76"/>
      <c r="AB73" s="76"/>
      <c r="AC73" s="76"/>
    </row>
    <row r="74" spans="1:29" ht="15.75">
      <c r="A74" s="393"/>
      <c r="B74" s="426"/>
      <c r="C74" s="390" t="s">
        <v>416</v>
      </c>
      <c r="D74" s="390"/>
      <c r="I74" s="425">
        <f>'CUARTEL GENERAL'!I30+'CUARTEL GENERAL'!I43+'CUARTEL GENERAL'!I60+'CUARTEL GENERAL'!I76</f>
        <v>0</v>
      </c>
      <c r="J74" s="408"/>
      <c r="K74" s="425">
        <v>1.5</v>
      </c>
      <c r="L74" s="425">
        <f t="shared" si="3"/>
        <v>0</v>
      </c>
      <c r="M74" s="467">
        <f>M64</f>
        <v>1.25</v>
      </c>
      <c r="N74" s="467">
        <f t="shared" si="6"/>
        <v>0</v>
      </c>
      <c r="O74" s="467">
        <f>G21</f>
        <v>1.7857142857142858</v>
      </c>
      <c r="P74" s="467">
        <f t="shared" si="4"/>
        <v>0</v>
      </c>
      <c r="Q74" s="467">
        <f>Q64</f>
        <v>2.571428571428571</v>
      </c>
      <c r="R74" s="467">
        <v>0.8333333333333334</v>
      </c>
      <c r="S74" s="468">
        <f t="shared" si="5"/>
        <v>0</v>
      </c>
      <c r="T74" s="601"/>
      <c r="U74" s="604"/>
      <c r="V74" s="602"/>
      <c r="W74" s="602"/>
      <c r="X74" s="604">
        <f>S74</f>
        <v>0</v>
      </c>
      <c r="Y74" s="602"/>
      <c r="Z74" s="603"/>
      <c r="AA74" s="76"/>
      <c r="AB74" s="76"/>
      <c r="AC74" s="76"/>
    </row>
    <row r="75" spans="1:29" ht="15.75">
      <c r="A75" s="393"/>
      <c r="B75" s="426"/>
      <c r="C75" s="390" t="s">
        <v>122</v>
      </c>
      <c r="D75" s="390"/>
      <c r="I75" s="425">
        <f>'CUARTEL GENERAL'!I28+'CUARTEL GENERAL'!I33+'CUARTEL GENERAL'!I41+'CUARTEL GENERAL'!I46+'CUARTEL GENERAL'!I58+'CUARTEL GENERAL'!I63+'CUARTEL GENERAL'!I74+'CUARTEL GENERAL'!I79</f>
        <v>0</v>
      </c>
      <c r="J75" s="408"/>
      <c r="K75" s="425">
        <v>2</v>
      </c>
      <c r="L75" s="425">
        <f t="shared" si="3"/>
        <v>0</v>
      </c>
      <c r="M75" s="467">
        <f>M66</f>
        <v>1.6666666666666665</v>
      </c>
      <c r="N75" s="467">
        <f t="shared" si="6"/>
        <v>0</v>
      </c>
      <c r="O75" s="467">
        <f>G20</f>
        <v>2.142857142857143</v>
      </c>
      <c r="P75" s="467">
        <f t="shared" si="4"/>
        <v>0</v>
      </c>
      <c r="Q75" s="467">
        <f>Q66</f>
        <v>2.571428571428571</v>
      </c>
      <c r="R75" s="467">
        <v>0.8333333333333334</v>
      </c>
      <c r="S75" s="468">
        <f t="shared" si="5"/>
        <v>0</v>
      </c>
      <c r="T75" s="601"/>
      <c r="U75" s="602"/>
      <c r="V75" s="602"/>
      <c r="W75" s="602"/>
      <c r="X75" s="604">
        <f>S75</f>
        <v>0</v>
      </c>
      <c r="Y75" s="602"/>
      <c r="Z75" s="603"/>
      <c r="AA75" s="76"/>
      <c r="AB75" s="76"/>
      <c r="AC75" s="76"/>
    </row>
    <row r="76" spans="1:29" ht="15.75">
      <c r="A76" s="393"/>
      <c r="B76" s="426"/>
      <c r="C76" s="390" t="s">
        <v>412</v>
      </c>
      <c r="D76" s="390"/>
      <c r="I76" s="425">
        <f>'CUARTEL GENERAL'!I29+'CUARTEL GENERAL'!I34+'CUARTEL GENERAL'!I42+'CUARTEL GENERAL'!I47+'CUARTEL GENERAL'!I59+'CUARTEL GENERAL'!I64+'CUARTEL GENERAL'!I75+'CUARTEL GENERAL'!I80</f>
        <v>0</v>
      </c>
      <c r="J76" s="408"/>
      <c r="K76" s="425">
        <v>1.5</v>
      </c>
      <c r="L76" s="425">
        <f t="shared" si="3"/>
        <v>0</v>
      </c>
      <c r="M76" s="467">
        <f>M67</f>
        <v>1.25</v>
      </c>
      <c r="N76" s="467">
        <f t="shared" si="6"/>
        <v>0</v>
      </c>
      <c r="O76" s="467">
        <f>G21</f>
        <v>1.7857142857142858</v>
      </c>
      <c r="P76" s="467">
        <f t="shared" si="4"/>
        <v>0</v>
      </c>
      <c r="Q76" s="467">
        <f>Q67</f>
        <v>4.2857142857142865</v>
      </c>
      <c r="R76" s="467">
        <v>0.8333333333333334</v>
      </c>
      <c r="S76" s="468">
        <f t="shared" si="5"/>
        <v>0</v>
      </c>
      <c r="T76" s="601"/>
      <c r="U76" s="604">
        <f>S76</f>
        <v>0</v>
      </c>
      <c r="V76" s="602"/>
      <c r="W76" s="602"/>
      <c r="X76" s="604"/>
      <c r="Y76" s="602"/>
      <c r="Z76" s="603"/>
      <c r="AA76" s="76"/>
      <c r="AB76" s="76"/>
      <c r="AC76" s="76"/>
    </row>
    <row r="77" spans="1:29" ht="15.75">
      <c r="A77" s="393"/>
      <c r="B77" s="426"/>
      <c r="C77" s="390" t="s">
        <v>414</v>
      </c>
      <c r="D77" s="390"/>
      <c r="I77" s="425"/>
      <c r="J77" s="408"/>
      <c r="K77" s="425">
        <v>1</v>
      </c>
      <c r="L77" s="425">
        <f t="shared" si="3"/>
        <v>0</v>
      </c>
      <c r="M77" s="467">
        <f>M69</f>
        <v>0.8333333333333333</v>
      </c>
      <c r="N77" s="467">
        <f t="shared" si="6"/>
        <v>0</v>
      </c>
      <c r="O77" s="467">
        <f>G21</f>
        <v>1.7857142857142858</v>
      </c>
      <c r="P77" s="467">
        <f t="shared" si="4"/>
        <v>0</v>
      </c>
      <c r="Q77" s="467">
        <f>Q69</f>
        <v>4.2857142857142865</v>
      </c>
      <c r="R77" s="467">
        <v>0.8333333333333334</v>
      </c>
      <c r="S77" s="468">
        <f t="shared" si="5"/>
        <v>0</v>
      </c>
      <c r="T77" s="604">
        <f>S77</f>
        <v>0</v>
      </c>
      <c r="U77" s="604"/>
      <c r="V77" s="602"/>
      <c r="W77" s="602"/>
      <c r="Y77" s="602"/>
      <c r="Z77" s="603"/>
      <c r="AA77" s="76"/>
      <c r="AB77" s="76"/>
      <c r="AC77" s="76"/>
    </row>
    <row r="78" spans="1:29" ht="15.75">
      <c r="A78" s="393"/>
      <c r="B78" s="426"/>
      <c r="C78" s="390" t="s">
        <v>415</v>
      </c>
      <c r="D78" s="390"/>
      <c r="I78" s="425">
        <f>'CUARTEL GENERAL'!I31+'CUARTEL GENERAL'!I36+'CUARTEL GENERAL'!I44+'CUARTEL GENERAL'!I49+'CUARTEL GENERAL'!I61+'CUARTEL GENERAL'!I66+'CUARTEL GENERAL'!I77+'CUARTEL GENERAL'!I82</f>
        <v>0</v>
      </c>
      <c r="J78" s="408"/>
      <c r="K78" s="425">
        <v>4</v>
      </c>
      <c r="L78" s="425">
        <f t="shared" si="3"/>
        <v>0</v>
      </c>
      <c r="M78" s="467" t="str">
        <f>M70</f>
        <v>0.5</v>
      </c>
      <c r="N78" s="467">
        <f t="shared" si="6"/>
        <v>0</v>
      </c>
      <c r="O78" s="467">
        <f>G24</f>
        <v>1</v>
      </c>
      <c r="P78" s="467">
        <f t="shared" si="4"/>
        <v>0</v>
      </c>
      <c r="Q78" s="467">
        <f>Q70</f>
        <v>2.571428571428571</v>
      </c>
      <c r="R78" s="467">
        <v>1</v>
      </c>
      <c r="S78" s="468">
        <f t="shared" si="5"/>
        <v>0</v>
      </c>
      <c r="T78" s="601"/>
      <c r="U78" s="604"/>
      <c r="V78" s="602"/>
      <c r="W78" s="602"/>
      <c r="X78" s="605">
        <f>S78</f>
        <v>0</v>
      </c>
      <c r="Y78" s="602"/>
      <c r="Z78" s="603"/>
      <c r="AA78" s="76"/>
      <c r="AB78" s="76"/>
      <c r="AC78" s="76"/>
    </row>
    <row r="79" spans="1:29" ht="15.75">
      <c r="A79" s="393"/>
      <c r="B79" s="426" t="s">
        <v>421</v>
      </c>
      <c r="C79" s="390"/>
      <c r="D79" s="390"/>
      <c r="I79" s="425"/>
      <c r="J79" s="408"/>
      <c r="K79" s="425"/>
      <c r="L79" s="425"/>
      <c r="M79" s="467"/>
      <c r="N79" s="467"/>
      <c r="O79" s="467"/>
      <c r="P79" s="467"/>
      <c r="Q79" s="467"/>
      <c r="R79" s="467"/>
      <c r="S79" s="468"/>
      <c r="T79" s="601"/>
      <c r="U79" s="604"/>
      <c r="V79" s="602"/>
      <c r="W79" s="602"/>
      <c r="X79" s="605"/>
      <c r="Y79" s="602"/>
      <c r="Z79" s="603"/>
      <c r="AA79" s="76"/>
      <c r="AB79" s="76"/>
      <c r="AC79" s="76"/>
    </row>
    <row r="80" spans="1:29" ht="15.75">
      <c r="A80" s="393"/>
      <c r="B80" s="426"/>
      <c r="C80" s="390" t="s">
        <v>122</v>
      </c>
      <c r="D80" s="390"/>
      <c r="I80" s="425"/>
      <c r="J80" s="408"/>
      <c r="K80" s="425">
        <v>2</v>
      </c>
      <c r="L80" s="425">
        <f t="shared" si="3"/>
        <v>0</v>
      </c>
      <c r="M80" s="467">
        <f>C18</f>
        <v>1.6666666666666665</v>
      </c>
      <c r="N80" s="467">
        <f t="shared" si="6"/>
        <v>0</v>
      </c>
      <c r="O80" s="467">
        <f>G20</f>
        <v>2.142857142857143</v>
      </c>
      <c r="P80" s="467">
        <f t="shared" si="4"/>
        <v>0</v>
      </c>
      <c r="Q80" s="467">
        <f>L23</f>
        <v>2.571428571428571</v>
      </c>
      <c r="R80" s="467">
        <v>0.9444444444444444</v>
      </c>
      <c r="S80" s="468">
        <f t="shared" si="5"/>
        <v>0</v>
      </c>
      <c r="T80" s="601"/>
      <c r="U80" s="604"/>
      <c r="V80" s="602"/>
      <c r="W80" s="602"/>
      <c r="X80" s="605">
        <f>S80</f>
        <v>0</v>
      </c>
      <c r="Y80" s="602"/>
      <c r="Z80" s="603"/>
      <c r="AA80" s="76"/>
      <c r="AB80" s="76"/>
      <c r="AC80" s="76"/>
    </row>
    <row r="81" spans="1:29" ht="15.75">
      <c r="A81" s="393"/>
      <c r="B81" s="426"/>
      <c r="C81" s="390" t="s">
        <v>294</v>
      </c>
      <c r="D81" s="390"/>
      <c r="I81" s="425"/>
      <c r="J81" s="408">
        <f>'CUARTEL GENERAL'!E17</f>
        <v>0</v>
      </c>
      <c r="K81" s="425">
        <v>3</v>
      </c>
      <c r="L81" s="425">
        <f t="shared" si="3"/>
        <v>0</v>
      </c>
      <c r="M81" s="467">
        <f>C16</f>
        <v>2.5</v>
      </c>
      <c r="N81" s="467">
        <f t="shared" si="6"/>
        <v>0</v>
      </c>
      <c r="O81" s="467">
        <f>G18</f>
        <v>2.8571428571428568</v>
      </c>
      <c r="P81" s="467">
        <f t="shared" si="4"/>
        <v>0</v>
      </c>
      <c r="Q81" s="467">
        <f>L15</f>
        <v>4.2857142857142865</v>
      </c>
      <c r="R81" s="467">
        <v>0.5092592592592593</v>
      </c>
      <c r="S81" s="468">
        <f t="shared" si="5"/>
        <v>0</v>
      </c>
      <c r="T81" s="601"/>
      <c r="U81" s="604">
        <f>S81</f>
        <v>0</v>
      </c>
      <c r="V81" s="602"/>
      <c r="W81" s="602"/>
      <c r="X81" s="605"/>
      <c r="Y81" s="602"/>
      <c r="Z81" s="603"/>
      <c r="AA81" s="76"/>
      <c r="AB81" s="76"/>
      <c r="AC81" s="76"/>
    </row>
    <row r="82" spans="1:29" ht="15.75">
      <c r="A82" s="393"/>
      <c r="B82" s="426"/>
      <c r="C82" s="390" t="s">
        <v>422</v>
      </c>
      <c r="D82" s="390"/>
      <c r="I82" s="425"/>
      <c r="J82" s="408">
        <f>'CUARTEL GENERAL'!E18</f>
        <v>0</v>
      </c>
      <c r="K82" s="425">
        <v>4</v>
      </c>
      <c r="L82" s="425">
        <f t="shared" si="3"/>
        <v>0</v>
      </c>
      <c r="M82" s="467">
        <f>C18</f>
        <v>1.6666666666666665</v>
      </c>
      <c r="N82" s="467">
        <f t="shared" si="6"/>
        <v>0</v>
      </c>
      <c r="O82" s="467">
        <f>G21</f>
        <v>1.7857142857142858</v>
      </c>
      <c r="P82" s="467">
        <f t="shared" si="4"/>
        <v>0</v>
      </c>
      <c r="Q82" s="467">
        <f>L17</f>
        <v>4</v>
      </c>
      <c r="R82" s="467">
        <v>0.9444444444444444</v>
      </c>
      <c r="S82" s="468">
        <f t="shared" si="5"/>
        <v>0</v>
      </c>
      <c r="T82" s="601"/>
      <c r="U82" s="604">
        <f>S82*1/6</f>
        <v>0</v>
      </c>
      <c r="V82" s="602"/>
      <c r="W82" s="605">
        <f>S82*5/6</f>
        <v>0</v>
      </c>
      <c r="X82" s="605"/>
      <c r="Y82" s="602"/>
      <c r="Z82" s="603"/>
      <c r="AA82" s="76"/>
      <c r="AB82" s="76"/>
      <c r="AC82" s="76"/>
    </row>
    <row r="83" spans="1:29" ht="15.75">
      <c r="A83" s="393"/>
      <c r="B83" s="426"/>
      <c r="C83" s="390" t="s">
        <v>296</v>
      </c>
      <c r="D83" s="390"/>
      <c r="I83" s="425"/>
      <c r="J83" s="408">
        <f>'CUARTEL GENERAL'!E18</f>
        <v>0</v>
      </c>
      <c r="K83" s="425">
        <v>3</v>
      </c>
      <c r="L83" s="425">
        <f t="shared" si="3"/>
        <v>0</v>
      </c>
      <c r="M83" s="467">
        <f>C16</f>
        <v>2.5</v>
      </c>
      <c r="N83" s="467">
        <f t="shared" si="6"/>
        <v>0</v>
      </c>
      <c r="O83" s="467">
        <f>G19</f>
        <v>2.5</v>
      </c>
      <c r="P83" s="467">
        <f t="shared" si="4"/>
        <v>0</v>
      </c>
      <c r="Q83" s="467">
        <f>L21</f>
        <v>3.142857142857143</v>
      </c>
      <c r="R83" s="467">
        <v>0.9444444444444444</v>
      </c>
      <c r="S83" s="468">
        <f t="shared" si="5"/>
        <v>0</v>
      </c>
      <c r="T83" s="601"/>
      <c r="U83" s="604"/>
      <c r="V83" s="602"/>
      <c r="W83" s="604">
        <f>S83</f>
        <v>0</v>
      </c>
      <c r="X83" s="605"/>
      <c r="Y83" s="602"/>
      <c r="Z83" s="603"/>
      <c r="AA83" s="76"/>
      <c r="AB83" s="76"/>
      <c r="AC83" s="76"/>
    </row>
    <row r="84" spans="1:29" ht="15.75">
      <c r="A84" s="393">
        <v>2</v>
      </c>
      <c r="B84" s="424" t="s">
        <v>420</v>
      </c>
      <c r="C84" s="390"/>
      <c r="D84" s="390"/>
      <c r="I84" s="425"/>
      <c r="J84" s="408"/>
      <c r="K84" s="425"/>
      <c r="L84" s="425"/>
      <c r="M84" s="467"/>
      <c r="N84" s="467"/>
      <c r="O84" s="467"/>
      <c r="P84" s="467"/>
      <c r="Q84" s="467"/>
      <c r="R84" s="467"/>
      <c r="S84" s="468"/>
      <c r="T84" s="601"/>
      <c r="U84" s="602"/>
      <c r="V84" s="602"/>
      <c r="W84" s="602"/>
      <c r="X84" s="602"/>
      <c r="Y84" s="602"/>
      <c r="Z84" s="603"/>
      <c r="AA84" s="76"/>
      <c r="AB84" s="76"/>
      <c r="AC84" s="76"/>
    </row>
    <row r="85" spans="1:29" ht="15.75">
      <c r="A85" s="393"/>
      <c r="B85" s="424"/>
      <c r="C85" s="390" t="s">
        <v>113</v>
      </c>
      <c r="D85" s="390"/>
      <c r="I85" s="425">
        <f>'CUARTEL GENERAL'!H92</f>
        <v>0</v>
      </c>
      <c r="J85" s="408"/>
      <c r="K85" s="425">
        <v>1</v>
      </c>
      <c r="L85" s="425">
        <f t="shared" si="3"/>
        <v>0</v>
      </c>
      <c r="M85" s="425">
        <f>M72</f>
        <v>0.8333333333333333</v>
      </c>
      <c r="N85" s="467">
        <f t="shared" si="6"/>
        <v>0</v>
      </c>
      <c r="O85" s="468">
        <f>G23</f>
        <v>1.0714285714285714</v>
      </c>
      <c r="P85" s="467">
        <f t="shared" si="4"/>
        <v>0</v>
      </c>
      <c r="Q85" s="425">
        <f>Q72</f>
        <v>2.571428571428571</v>
      </c>
      <c r="R85" s="468">
        <v>0.6666666666666666</v>
      </c>
      <c r="S85" s="468">
        <f t="shared" si="5"/>
        <v>0</v>
      </c>
      <c r="T85" s="601"/>
      <c r="U85" s="602"/>
      <c r="V85" s="602"/>
      <c r="W85" s="602"/>
      <c r="X85" s="604">
        <f>S85</f>
        <v>0</v>
      </c>
      <c r="Y85" s="602"/>
      <c r="Z85" s="603"/>
      <c r="AA85" s="76"/>
      <c r="AB85" s="76"/>
      <c r="AC85" s="76"/>
    </row>
    <row r="86" spans="1:29" ht="15.75">
      <c r="A86" s="393"/>
      <c r="B86" s="424"/>
      <c r="C86" s="390" t="s">
        <v>274</v>
      </c>
      <c r="D86" s="390"/>
      <c r="I86" s="425">
        <f>'CUARTEL GENERAL'!H94+'CUARTEL GENERAL'!H96</f>
        <v>0</v>
      </c>
      <c r="J86" s="408"/>
      <c r="K86" s="425">
        <v>1</v>
      </c>
      <c r="L86" s="425">
        <f t="shared" si="3"/>
        <v>0</v>
      </c>
      <c r="M86" s="425">
        <f>M73</f>
        <v>0.8333333333333333</v>
      </c>
      <c r="N86" s="467">
        <f t="shared" si="6"/>
        <v>0</v>
      </c>
      <c r="O86" s="468">
        <f>G23</f>
        <v>1.0714285714285714</v>
      </c>
      <c r="P86" s="467">
        <f t="shared" si="4"/>
        <v>0</v>
      </c>
      <c r="Q86" s="425">
        <f>Q73</f>
        <v>4.2857142857142865</v>
      </c>
      <c r="R86" s="468">
        <v>0.6666666666666666</v>
      </c>
      <c r="S86" s="468">
        <f t="shared" si="5"/>
        <v>0</v>
      </c>
      <c r="T86" s="601"/>
      <c r="U86" s="604">
        <f>S86</f>
        <v>0</v>
      </c>
      <c r="V86" s="602"/>
      <c r="W86" s="602"/>
      <c r="X86" s="604"/>
      <c r="Y86" s="602"/>
      <c r="Z86" s="603"/>
      <c r="AA86" s="76"/>
      <c r="AB86" s="76"/>
      <c r="AC86" s="76"/>
    </row>
    <row r="87" spans="1:29" ht="15.75">
      <c r="A87" s="393"/>
      <c r="B87" s="424"/>
      <c r="C87" s="390" t="s">
        <v>416</v>
      </c>
      <c r="D87" s="390"/>
      <c r="I87" s="425">
        <f>'CUARTEL GENERAL'!H93+'CUARTEL GENERAL'!H95</f>
        <v>0</v>
      </c>
      <c r="J87" s="408"/>
      <c r="K87" s="425">
        <v>1.5</v>
      </c>
      <c r="L87" s="425">
        <f t="shared" si="3"/>
        <v>0</v>
      </c>
      <c r="M87" s="425">
        <f>M74</f>
        <v>1.25</v>
      </c>
      <c r="N87" s="467">
        <f t="shared" si="6"/>
        <v>0</v>
      </c>
      <c r="O87" s="468">
        <f>G22</f>
        <v>1.4285714285714284</v>
      </c>
      <c r="P87" s="467">
        <f t="shared" si="4"/>
        <v>0</v>
      </c>
      <c r="Q87" s="425">
        <f>Q74</f>
        <v>2.571428571428571</v>
      </c>
      <c r="R87" s="468">
        <v>0.6666666666666666</v>
      </c>
      <c r="S87" s="468">
        <f t="shared" si="5"/>
        <v>0</v>
      </c>
      <c r="T87" s="601"/>
      <c r="U87" s="604"/>
      <c r="V87" s="602"/>
      <c r="W87" s="602"/>
      <c r="X87" s="604">
        <f>S87</f>
        <v>0</v>
      </c>
      <c r="Y87" s="602"/>
      <c r="Z87" s="603"/>
      <c r="AA87" s="76"/>
      <c r="AB87" s="76"/>
      <c r="AC87" s="76"/>
    </row>
    <row r="88" spans="1:29" ht="15.75">
      <c r="A88" s="393"/>
      <c r="B88" s="424"/>
      <c r="C88" s="390" t="s">
        <v>426</v>
      </c>
      <c r="D88" s="390"/>
      <c r="I88" s="425">
        <f>'CUARTEL GENERAL'!H99+'CUARTEL GENERAL'!H102+'CUARTEL GENERAL'!H105</f>
        <v>0</v>
      </c>
      <c r="J88" s="408"/>
      <c r="K88" s="425">
        <v>1.5</v>
      </c>
      <c r="L88" s="425">
        <f t="shared" si="3"/>
        <v>0</v>
      </c>
      <c r="M88" s="425">
        <f>M76</f>
        <v>1.25</v>
      </c>
      <c r="N88" s="467">
        <f t="shared" si="6"/>
        <v>0</v>
      </c>
      <c r="O88" s="468">
        <f>G22</f>
        <v>1.4285714285714284</v>
      </c>
      <c r="P88" s="467">
        <f t="shared" si="4"/>
        <v>0</v>
      </c>
      <c r="Q88" s="425">
        <f>Q76</f>
        <v>4.2857142857142865</v>
      </c>
      <c r="R88" s="468">
        <v>0.6666666666666666</v>
      </c>
      <c r="S88" s="468">
        <f t="shared" si="5"/>
        <v>0</v>
      </c>
      <c r="T88" s="601"/>
      <c r="U88" s="604">
        <f>S88</f>
        <v>0</v>
      </c>
      <c r="V88" s="602"/>
      <c r="W88" s="602"/>
      <c r="X88" s="604"/>
      <c r="Y88" s="602"/>
      <c r="Z88" s="603"/>
      <c r="AA88" s="76"/>
      <c r="AB88" s="76"/>
      <c r="AC88" s="76"/>
    </row>
    <row r="89" spans="1:29" ht="15.75">
      <c r="A89" s="393"/>
      <c r="B89" s="424"/>
      <c r="C89" s="390" t="s">
        <v>427</v>
      </c>
      <c r="D89" s="390"/>
      <c r="I89" s="425">
        <f>'CUARTEL GENERAL'!H98+'CUARTEL GENERAL'!H101+'CUARTEL GENERAL'!H104</f>
        <v>0</v>
      </c>
      <c r="J89" s="408"/>
      <c r="K89" s="425">
        <v>1</v>
      </c>
      <c r="L89" s="425">
        <f t="shared" si="3"/>
        <v>0</v>
      </c>
      <c r="M89" s="425">
        <f>M77</f>
        <v>0.8333333333333333</v>
      </c>
      <c r="N89" s="467">
        <f t="shared" si="6"/>
        <v>0</v>
      </c>
      <c r="O89" s="468">
        <f>G23</f>
        <v>1.0714285714285714</v>
      </c>
      <c r="P89" s="467">
        <f t="shared" si="4"/>
        <v>0</v>
      </c>
      <c r="Q89" s="425">
        <f>Q77</f>
        <v>4.2857142857142865</v>
      </c>
      <c r="R89" s="468">
        <v>0.6666666666666666</v>
      </c>
      <c r="S89" s="468">
        <f t="shared" si="5"/>
        <v>0</v>
      </c>
      <c r="T89" s="604">
        <f>S89</f>
        <v>0</v>
      </c>
      <c r="U89" s="604"/>
      <c r="V89" s="602"/>
      <c r="W89" s="602"/>
      <c r="Y89" s="602"/>
      <c r="Z89" s="603"/>
      <c r="AA89" s="76"/>
      <c r="AB89" s="76"/>
      <c r="AC89" s="76"/>
    </row>
    <row r="90" spans="1:29" ht="16.5" thickBot="1">
      <c r="A90" s="393"/>
      <c r="B90" s="426"/>
      <c r="C90" s="390" t="s">
        <v>280</v>
      </c>
      <c r="D90" s="390"/>
      <c r="I90" s="425">
        <f>'CUARTEL GENERAL'!H97+'CUARTEL GENERAL'!H100+'CUARTEL GENERAL'!H103</f>
        <v>0</v>
      </c>
      <c r="J90" s="408"/>
      <c r="K90" s="425">
        <v>4</v>
      </c>
      <c r="L90" s="425">
        <f t="shared" si="3"/>
        <v>0</v>
      </c>
      <c r="M90" s="425" t="str">
        <f>M78</f>
        <v>0.5</v>
      </c>
      <c r="N90" s="467">
        <f t="shared" si="6"/>
        <v>0</v>
      </c>
      <c r="O90" s="425">
        <f>O78</f>
        <v>1</v>
      </c>
      <c r="P90" s="467">
        <f t="shared" si="4"/>
        <v>0</v>
      </c>
      <c r="Q90" s="425">
        <f>Q78</f>
        <v>2.571428571428571</v>
      </c>
      <c r="R90" s="425">
        <v>1</v>
      </c>
      <c r="S90" s="468">
        <f t="shared" si="5"/>
        <v>0</v>
      </c>
      <c r="T90" s="601"/>
      <c r="U90" s="604"/>
      <c r="V90" s="602"/>
      <c r="W90" s="602"/>
      <c r="X90" s="605">
        <f>S90</f>
        <v>0</v>
      </c>
      <c r="Y90" s="602"/>
      <c r="Z90" s="603"/>
      <c r="AA90" s="76"/>
      <c r="AB90" s="76"/>
      <c r="AC90" s="76"/>
    </row>
    <row r="91" spans="1:29" ht="13.5" thickBot="1">
      <c r="A91" s="389"/>
      <c r="B91" s="388" t="s">
        <v>13</v>
      </c>
      <c r="C91" s="398"/>
      <c r="D91" s="398"/>
      <c r="E91" s="398"/>
      <c r="F91" s="398"/>
      <c r="G91" s="398"/>
      <c r="H91" s="428"/>
      <c r="I91" s="381">
        <f>SUM(I92:I109)</f>
        <v>0</v>
      </c>
      <c r="J91" s="381">
        <f>SUM(J92:J109)</f>
        <v>0</v>
      </c>
      <c r="K91" s="381"/>
      <c r="L91" s="381">
        <f>SUM(L92:L109)</f>
        <v>0</v>
      </c>
      <c r="M91" s="436">
        <f>SUM(M92:M109)</f>
        <v>32.5</v>
      </c>
      <c r="N91" s="436">
        <f>SUM(N92:N109)</f>
        <v>0</v>
      </c>
      <c r="O91" s="436">
        <f>SUM(O92:O109)</f>
        <v>15.500000000000002</v>
      </c>
      <c r="P91" s="436">
        <f>SUM(P92:P109)</f>
        <v>0</v>
      </c>
      <c r="Q91" s="606"/>
      <c r="R91" s="606"/>
      <c r="S91" s="503">
        <f>SUM(S92:S109)</f>
        <v>0</v>
      </c>
      <c r="T91" s="601"/>
      <c r="U91" s="602"/>
      <c r="V91" s="602"/>
      <c r="W91" s="602"/>
      <c r="X91" s="602"/>
      <c r="Y91" s="602"/>
      <c r="Z91" s="603"/>
      <c r="AA91" s="76"/>
      <c r="AB91" s="76"/>
      <c r="AC91" s="76"/>
    </row>
    <row r="92" spans="1:29" ht="15.75">
      <c r="A92" s="393">
        <v>1</v>
      </c>
      <c r="B92" s="424" t="s">
        <v>425</v>
      </c>
      <c r="C92" s="390"/>
      <c r="D92" s="390"/>
      <c r="I92" s="425"/>
      <c r="J92" s="408"/>
      <c r="K92" s="425"/>
      <c r="L92" s="425"/>
      <c r="M92" s="467"/>
      <c r="N92" s="467"/>
      <c r="O92" s="467"/>
      <c r="P92" s="467"/>
      <c r="Q92" s="467"/>
      <c r="R92" s="467"/>
      <c r="S92" s="507"/>
      <c r="T92" s="607"/>
      <c r="U92" s="602"/>
      <c r="V92" s="602"/>
      <c r="W92" s="602"/>
      <c r="X92" s="602"/>
      <c r="Y92" s="602"/>
      <c r="Z92" s="603"/>
      <c r="AA92" s="76"/>
      <c r="AB92" s="76"/>
      <c r="AC92" s="76"/>
    </row>
    <row r="93" spans="1:29" ht="15.75">
      <c r="A93" s="393"/>
      <c r="B93" s="424"/>
      <c r="C93" s="390" t="s">
        <v>113</v>
      </c>
      <c r="D93" s="390"/>
      <c r="I93" s="425">
        <f>LINEA!H6</f>
        <v>0</v>
      </c>
      <c r="J93" s="408"/>
      <c r="K93" s="425">
        <v>1</v>
      </c>
      <c r="L93" s="425">
        <f aca="true" t="shared" si="7" ref="L93:L99">K93*(I93+J93)</f>
        <v>0</v>
      </c>
      <c r="M93" s="425">
        <f>M61</f>
        <v>0.8333333333333333</v>
      </c>
      <c r="N93" s="467">
        <f aca="true" t="shared" si="8" ref="N93:N102">L93*M93</f>
        <v>0</v>
      </c>
      <c r="O93" s="425">
        <f>O61</f>
        <v>1.0714285714285714</v>
      </c>
      <c r="P93" s="467">
        <f aca="true" t="shared" si="9" ref="P93:P102">O93*L93</f>
        <v>0</v>
      </c>
      <c r="Q93" s="425">
        <f>Q61</f>
        <v>2.571428571428571</v>
      </c>
      <c r="R93" s="468">
        <v>0.6666666666666666</v>
      </c>
      <c r="S93" s="467">
        <f aca="true" t="shared" si="10" ref="S93:S98">L93*Q93*R93</f>
        <v>0</v>
      </c>
      <c r="T93" s="607"/>
      <c r="U93" s="602"/>
      <c r="V93" s="602"/>
      <c r="W93" s="602"/>
      <c r="X93" s="604">
        <f>S93</f>
        <v>0</v>
      </c>
      <c r="Y93" s="602"/>
      <c r="Z93" s="603"/>
      <c r="AA93" s="76"/>
      <c r="AB93" s="76"/>
      <c r="AC93" s="76"/>
    </row>
    <row r="94" spans="1:29" ht="15.75">
      <c r="A94" s="393"/>
      <c r="B94" s="424"/>
      <c r="C94" s="390" t="s">
        <v>274</v>
      </c>
      <c r="D94" s="390"/>
      <c r="I94" s="425">
        <f>LINEA!H7</f>
        <v>0</v>
      </c>
      <c r="J94" s="408"/>
      <c r="K94" s="425">
        <v>1</v>
      </c>
      <c r="L94" s="425">
        <f t="shared" si="7"/>
        <v>0</v>
      </c>
      <c r="M94" s="425">
        <f>M63</f>
        <v>0.8333333333333333</v>
      </c>
      <c r="N94" s="467">
        <f t="shared" si="8"/>
        <v>0</v>
      </c>
      <c r="O94" s="425">
        <f>O63</f>
        <v>1.0714285714285714</v>
      </c>
      <c r="P94" s="467">
        <f t="shared" si="9"/>
        <v>0</v>
      </c>
      <c r="Q94" s="425">
        <f>Q63</f>
        <v>4.2857142857142865</v>
      </c>
      <c r="R94" s="468">
        <v>0.6666666666666666</v>
      </c>
      <c r="S94" s="467">
        <f t="shared" si="10"/>
        <v>0</v>
      </c>
      <c r="T94" s="607"/>
      <c r="U94" s="604">
        <f>S94</f>
        <v>0</v>
      </c>
      <c r="V94" s="602"/>
      <c r="W94" s="602"/>
      <c r="X94" s="604"/>
      <c r="Y94" s="602"/>
      <c r="Z94" s="603"/>
      <c r="AA94" s="76"/>
      <c r="AB94" s="76"/>
      <c r="AC94" s="76"/>
    </row>
    <row r="95" spans="1:29" ht="15.75">
      <c r="A95" s="393"/>
      <c r="B95" s="424"/>
      <c r="C95" s="390" t="s">
        <v>416</v>
      </c>
      <c r="D95" s="390"/>
      <c r="I95" s="425">
        <f>LINEA!H5</f>
        <v>0</v>
      </c>
      <c r="J95" s="408"/>
      <c r="K95" s="425">
        <v>1.5</v>
      </c>
      <c r="L95" s="425">
        <f t="shared" si="7"/>
        <v>0</v>
      </c>
      <c r="M95" s="425">
        <f>M64</f>
        <v>1.25</v>
      </c>
      <c r="N95" s="467">
        <f t="shared" si="8"/>
        <v>0</v>
      </c>
      <c r="O95" s="425">
        <f>O64</f>
        <v>1.4285714285714284</v>
      </c>
      <c r="P95" s="467">
        <f t="shared" si="9"/>
        <v>0</v>
      </c>
      <c r="Q95" s="425">
        <f>Q64</f>
        <v>2.571428571428571</v>
      </c>
      <c r="R95" s="468">
        <v>0.6666666666666666</v>
      </c>
      <c r="S95" s="467">
        <f t="shared" si="10"/>
        <v>0</v>
      </c>
      <c r="T95" s="607"/>
      <c r="U95" s="604"/>
      <c r="V95" s="602"/>
      <c r="W95" s="602"/>
      <c r="X95" s="604">
        <f>S95</f>
        <v>0</v>
      </c>
      <c r="Y95" s="602"/>
      <c r="Z95" s="603"/>
      <c r="AA95" s="76"/>
      <c r="AB95" s="76"/>
      <c r="AC95" s="76"/>
    </row>
    <row r="96" spans="1:29" ht="15.75">
      <c r="A96" s="393"/>
      <c r="B96" s="424"/>
      <c r="C96" s="390" t="s">
        <v>426</v>
      </c>
      <c r="D96" s="390"/>
      <c r="I96" s="425">
        <f>LINEA!H10</f>
        <v>0</v>
      </c>
      <c r="J96" s="408"/>
      <c r="K96" s="425">
        <v>1.5</v>
      </c>
      <c r="L96" s="425">
        <f t="shared" si="7"/>
        <v>0</v>
      </c>
      <c r="M96" s="425">
        <f>M67</f>
        <v>1.25</v>
      </c>
      <c r="N96" s="467">
        <f t="shared" si="8"/>
        <v>0</v>
      </c>
      <c r="O96" s="425">
        <f>O67</f>
        <v>1.4285714285714284</v>
      </c>
      <c r="P96" s="467">
        <f t="shared" si="9"/>
        <v>0</v>
      </c>
      <c r="Q96" s="425">
        <f>Q67</f>
        <v>4.2857142857142865</v>
      </c>
      <c r="R96" s="468">
        <v>0.6666666666666666</v>
      </c>
      <c r="S96" s="467">
        <f t="shared" si="10"/>
        <v>0</v>
      </c>
      <c r="T96" s="607"/>
      <c r="U96" s="604">
        <f>S96</f>
        <v>0</v>
      </c>
      <c r="V96" s="602"/>
      <c r="W96" s="602"/>
      <c r="X96" s="604"/>
      <c r="Y96" s="602"/>
      <c r="Z96" s="603"/>
      <c r="AA96" s="76"/>
      <c r="AB96" s="76"/>
      <c r="AC96" s="76"/>
    </row>
    <row r="97" spans="1:29" ht="15.75">
      <c r="A97" s="393"/>
      <c r="B97" s="424"/>
      <c r="C97" s="390" t="s">
        <v>427</v>
      </c>
      <c r="D97" s="390"/>
      <c r="I97" s="425">
        <f>LINEA!H9</f>
        <v>0</v>
      </c>
      <c r="J97" s="408"/>
      <c r="K97" s="425">
        <v>1</v>
      </c>
      <c r="L97" s="425">
        <f t="shared" si="7"/>
        <v>0</v>
      </c>
      <c r="M97" s="425">
        <f aca="true" t="shared" si="11" ref="M97:Q98">M69</f>
        <v>0.8333333333333333</v>
      </c>
      <c r="N97" s="467">
        <f t="shared" si="8"/>
        <v>0</v>
      </c>
      <c r="O97" s="425">
        <f t="shared" si="11"/>
        <v>1.0714285714285714</v>
      </c>
      <c r="P97" s="467">
        <f t="shared" si="9"/>
        <v>0</v>
      </c>
      <c r="Q97" s="425">
        <f t="shared" si="11"/>
        <v>4.2857142857142865</v>
      </c>
      <c r="R97" s="468">
        <v>0.6666666666666666</v>
      </c>
      <c r="S97" s="467">
        <f t="shared" si="10"/>
        <v>0</v>
      </c>
      <c r="T97" s="608">
        <f>S97</f>
        <v>0</v>
      </c>
      <c r="U97" s="604"/>
      <c r="V97" s="602"/>
      <c r="W97" s="602"/>
      <c r="Y97" s="602"/>
      <c r="Z97" s="603"/>
      <c r="AA97" s="76"/>
      <c r="AB97" s="76"/>
      <c r="AC97" s="76"/>
    </row>
    <row r="98" spans="1:29" ht="15.75">
      <c r="A98" s="393"/>
      <c r="B98" s="426"/>
      <c r="C98" s="390" t="s">
        <v>280</v>
      </c>
      <c r="D98" s="390"/>
      <c r="I98" s="425">
        <f>LINEA!H8</f>
        <v>0</v>
      </c>
      <c r="J98" s="408"/>
      <c r="K98" s="425">
        <v>4</v>
      </c>
      <c r="L98" s="425">
        <f t="shared" si="7"/>
        <v>0</v>
      </c>
      <c r="M98" s="425" t="str">
        <f t="shared" si="11"/>
        <v>0.5</v>
      </c>
      <c r="N98" s="467">
        <f t="shared" si="8"/>
        <v>0</v>
      </c>
      <c r="O98" s="425">
        <f t="shared" si="11"/>
        <v>0.5</v>
      </c>
      <c r="P98" s="467">
        <f t="shared" si="9"/>
        <v>0</v>
      </c>
      <c r="Q98" s="425">
        <f t="shared" si="11"/>
        <v>2.571428571428571</v>
      </c>
      <c r="R98" s="425">
        <v>1</v>
      </c>
      <c r="S98" s="467">
        <f t="shared" si="10"/>
        <v>0</v>
      </c>
      <c r="T98" s="607"/>
      <c r="U98" s="604"/>
      <c r="V98" s="602"/>
      <c r="W98" s="602"/>
      <c r="X98" s="605">
        <f>S98</f>
        <v>0</v>
      </c>
      <c r="Y98" s="602"/>
      <c r="Z98" s="603"/>
      <c r="AA98" s="76"/>
      <c r="AB98" s="76"/>
      <c r="AC98" s="76"/>
    </row>
    <row r="99" spans="1:29" ht="12.75">
      <c r="A99" s="393"/>
      <c r="B99" s="390"/>
      <c r="C99" s="390" t="s">
        <v>309</v>
      </c>
      <c r="D99" s="390"/>
      <c r="I99" s="425">
        <f>LINEA!H11</f>
        <v>0</v>
      </c>
      <c r="J99" s="408"/>
      <c r="K99" s="425">
        <v>3</v>
      </c>
      <c r="L99" s="425">
        <f t="shared" si="7"/>
        <v>0</v>
      </c>
      <c r="M99" s="467">
        <f>C16</f>
        <v>2.5</v>
      </c>
      <c r="N99" s="467">
        <f t="shared" si="8"/>
        <v>0</v>
      </c>
      <c r="O99" s="467">
        <f>$G$27</f>
        <v>0</v>
      </c>
      <c r="P99" s="467">
        <f t="shared" si="9"/>
        <v>0</v>
      </c>
      <c r="Q99" s="467">
        <f>L21</f>
        <v>3.142857142857143</v>
      </c>
      <c r="R99" s="467">
        <v>0.6666666666666666</v>
      </c>
      <c r="S99" s="467">
        <f>L99*Q99*R99</f>
        <v>0</v>
      </c>
      <c r="T99" s="607"/>
      <c r="V99" s="602"/>
      <c r="W99" s="604">
        <f>S99</f>
        <v>0</v>
      </c>
      <c r="X99" s="602"/>
      <c r="Y99" s="602"/>
      <c r="Z99" s="603"/>
      <c r="AA99" s="76"/>
      <c r="AB99" s="76"/>
      <c r="AC99" s="76"/>
    </row>
    <row r="100" spans="1:29" ht="12.75">
      <c r="A100" s="393"/>
      <c r="B100" s="390"/>
      <c r="C100" s="390" t="s">
        <v>429</v>
      </c>
      <c r="D100" s="390"/>
      <c r="I100" s="425">
        <f>LINEA!H12</f>
        <v>0</v>
      </c>
      <c r="J100" s="408"/>
      <c r="K100" s="425">
        <v>1</v>
      </c>
      <c r="L100" s="425">
        <f>K100*(I100+J100)</f>
        <v>0</v>
      </c>
      <c r="M100" s="467">
        <f>C18</f>
        <v>1.6666666666666665</v>
      </c>
      <c r="N100" s="467">
        <f t="shared" si="8"/>
        <v>0</v>
      </c>
      <c r="O100" s="467">
        <f>$G$27</f>
        <v>0</v>
      </c>
      <c r="P100" s="467">
        <f t="shared" si="9"/>
        <v>0</v>
      </c>
      <c r="Q100" s="467">
        <f>$L$15</f>
        <v>4.2857142857142865</v>
      </c>
      <c r="R100" s="467">
        <v>0.6666666666666666</v>
      </c>
      <c r="S100" s="467">
        <f>L100*Q100*R100</f>
        <v>0</v>
      </c>
      <c r="T100" s="608">
        <f>S100</f>
        <v>0</v>
      </c>
      <c r="U100" s="604"/>
      <c r="V100" s="602"/>
      <c r="W100" s="602"/>
      <c r="X100" s="602"/>
      <c r="Y100" s="602"/>
      <c r="Z100" s="603"/>
      <c r="AA100" s="76"/>
      <c r="AB100" s="76"/>
      <c r="AC100" s="76"/>
    </row>
    <row r="101" spans="1:29" ht="12.75">
      <c r="A101" s="393"/>
      <c r="B101" s="390"/>
      <c r="C101" s="390" t="s">
        <v>428</v>
      </c>
      <c r="D101" s="390"/>
      <c r="I101" s="425">
        <f>LINEA!H13</f>
        <v>0</v>
      </c>
      <c r="J101" s="408"/>
      <c r="K101" s="425">
        <v>3</v>
      </c>
      <c r="L101" s="425">
        <f>K101*(I101+J101)</f>
        <v>0</v>
      </c>
      <c r="M101" s="467">
        <f>C16</f>
        <v>2.5</v>
      </c>
      <c r="N101" s="467">
        <f t="shared" si="8"/>
        <v>0</v>
      </c>
      <c r="O101" s="467">
        <f>$G$27</f>
        <v>0</v>
      </c>
      <c r="P101" s="467">
        <f t="shared" si="9"/>
        <v>0</v>
      </c>
      <c r="Q101" s="467">
        <f>$L$15</f>
        <v>4.2857142857142865</v>
      </c>
      <c r="R101" s="467">
        <v>0.43209876543209874</v>
      </c>
      <c r="S101" s="467">
        <f>L101*Q101*R101</f>
        <v>0</v>
      </c>
      <c r="T101" s="607"/>
      <c r="U101" s="609">
        <f>S101</f>
        <v>0</v>
      </c>
      <c r="V101" s="602"/>
      <c r="W101" s="602"/>
      <c r="X101" s="580"/>
      <c r="Y101" s="602"/>
      <c r="Z101" s="603"/>
      <c r="AA101" s="76"/>
      <c r="AB101" s="76"/>
      <c r="AC101" s="76"/>
    </row>
    <row r="102" spans="1:29" ht="12.75">
      <c r="A102" s="393"/>
      <c r="B102" s="390"/>
      <c r="C102" s="390" t="s">
        <v>299</v>
      </c>
      <c r="D102" s="390"/>
      <c r="I102" s="425">
        <f>LINEA!H14</f>
        <v>0</v>
      </c>
      <c r="J102" s="408"/>
      <c r="K102" s="425">
        <v>3</v>
      </c>
      <c r="L102" s="425">
        <f>K102*(I102+J102)</f>
        <v>0</v>
      </c>
      <c r="M102" s="467">
        <f>C15</f>
        <v>3.333333333333333</v>
      </c>
      <c r="N102" s="467">
        <f t="shared" si="8"/>
        <v>0</v>
      </c>
      <c r="O102" s="467">
        <f>$G$27</f>
        <v>0</v>
      </c>
      <c r="P102" s="467">
        <f t="shared" si="9"/>
        <v>0</v>
      </c>
      <c r="Q102" s="467">
        <f>L23</f>
        <v>2.571428571428571</v>
      </c>
      <c r="R102" s="467">
        <v>0.5185185185185185</v>
      </c>
      <c r="S102" s="467">
        <f>L102*Q102*R102</f>
        <v>0</v>
      </c>
      <c r="T102" s="607"/>
      <c r="U102" s="602"/>
      <c r="V102" s="602"/>
      <c r="W102" s="602"/>
      <c r="X102" s="580"/>
      <c r="Y102" s="609">
        <f>S102</f>
        <v>0</v>
      </c>
      <c r="Z102" s="603"/>
      <c r="AA102" s="76"/>
      <c r="AB102" s="76"/>
      <c r="AC102" s="76"/>
    </row>
    <row r="103" spans="1:29" ht="12.75">
      <c r="A103" s="393"/>
      <c r="B103" s="390"/>
      <c r="C103" s="390" t="s">
        <v>112</v>
      </c>
      <c r="D103" s="390"/>
      <c r="I103" s="425">
        <f>LINEA!H15</f>
        <v>0</v>
      </c>
      <c r="J103" s="408"/>
      <c r="K103" s="425">
        <v>1</v>
      </c>
      <c r="L103" s="425">
        <f>K103*(I103+J103)</f>
        <v>0</v>
      </c>
      <c r="M103" s="467">
        <f>C15</f>
        <v>3.333333333333333</v>
      </c>
      <c r="N103" s="467">
        <f>L103*M103</f>
        <v>0</v>
      </c>
      <c r="O103" s="467">
        <f>$G$27</f>
        <v>0</v>
      </c>
      <c r="P103" s="467">
        <f>O103*L103</f>
        <v>0</v>
      </c>
      <c r="Q103" s="467">
        <f>$L$15</f>
        <v>4.2857142857142865</v>
      </c>
      <c r="R103" s="467">
        <v>0.6666666666666666</v>
      </c>
      <c r="S103" s="467">
        <f>L103*Q103*R103</f>
        <v>0</v>
      </c>
      <c r="T103" s="607"/>
      <c r="U103" s="609">
        <f>S103</f>
        <v>0</v>
      </c>
      <c r="V103" s="602"/>
      <c r="W103" s="602"/>
      <c r="X103" s="580"/>
      <c r="Y103" s="602"/>
      <c r="Z103" s="603"/>
      <c r="AA103" s="76"/>
      <c r="AB103" s="76"/>
      <c r="AC103" s="76"/>
    </row>
    <row r="104" spans="1:29" ht="15.75">
      <c r="A104" s="393">
        <v>2</v>
      </c>
      <c r="B104" s="424" t="s">
        <v>430</v>
      </c>
      <c r="C104" s="390"/>
      <c r="D104" s="390"/>
      <c r="I104" s="425"/>
      <c r="J104" s="408"/>
      <c r="K104" s="425"/>
      <c r="L104" s="425"/>
      <c r="M104" s="467"/>
      <c r="N104" s="467"/>
      <c r="O104" s="467"/>
      <c r="P104" s="467"/>
      <c r="Q104" s="467"/>
      <c r="R104" s="467"/>
      <c r="S104" s="467"/>
      <c r="T104" s="607"/>
      <c r="U104" s="602"/>
      <c r="V104" s="602"/>
      <c r="W104" s="602"/>
      <c r="X104" s="609"/>
      <c r="Y104" s="602"/>
      <c r="Z104" s="603"/>
      <c r="AA104" s="76"/>
      <c r="AB104" s="76"/>
      <c r="AC104" s="76"/>
    </row>
    <row r="105" spans="1:29" ht="15.75">
      <c r="A105" s="393"/>
      <c r="B105" s="424"/>
      <c r="C105" s="390" t="s">
        <v>259</v>
      </c>
      <c r="D105" s="390"/>
      <c r="I105" s="425"/>
      <c r="J105" s="425">
        <f>LINEA!H23+LINEA!H28+LINEA!H26+'A.PESADO'!H20+'A.PESADO'!H25+'A.PESADO'!H35</f>
        <v>0</v>
      </c>
      <c r="K105" s="425">
        <v>2</v>
      </c>
      <c r="L105" s="425">
        <f>K105*(I105+J105)</f>
        <v>0</v>
      </c>
      <c r="M105" s="467">
        <f>C18</f>
        <v>1.6666666666666665</v>
      </c>
      <c r="N105" s="467">
        <f>L105*M105</f>
        <v>0</v>
      </c>
      <c r="O105" s="467">
        <f>G21</f>
        <v>1.7857142857142858</v>
      </c>
      <c r="P105" s="467">
        <f>O105*L105</f>
        <v>0</v>
      </c>
      <c r="Q105" s="467">
        <f>L23</f>
        <v>2.571428571428571</v>
      </c>
      <c r="R105" s="467">
        <v>0.6666666666666666</v>
      </c>
      <c r="S105" s="467">
        <f>L105*Q105*R105</f>
        <v>0</v>
      </c>
      <c r="T105" s="607"/>
      <c r="U105" s="602"/>
      <c r="V105" s="602"/>
      <c r="W105" s="602"/>
      <c r="X105" s="609">
        <f>S105</f>
        <v>0</v>
      </c>
      <c r="Y105" s="602"/>
      <c r="Z105" s="603"/>
      <c r="AA105" s="76"/>
      <c r="AB105" s="76"/>
      <c r="AC105" s="76"/>
    </row>
    <row r="106" spans="1:29" ht="15.75">
      <c r="A106" s="393"/>
      <c r="B106" s="424"/>
      <c r="C106" s="390" t="s">
        <v>316</v>
      </c>
      <c r="D106" s="390"/>
      <c r="I106" s="425"/>
      <c r="J106" s="408">
        <f>'A.PESADO'!H19+'A.PESADO'!H24+'A.PESADO'!H34+LINEA!H22+LINEA!H27</f>
        <v>0</v>
      </c>
      <c r="K106" s="425">
        <v>1</v>
      </c>
      <c r="L106" s="425">
        <f>K106*(I106+J106)</f>
        <v>0</v>
      </c>
      <c r="M106" s="467">
        <f>C13</f>
        <v>5</v>
      </c>
      <c r="N106" s="467">
        <f>L106*M106</f>
        <v>0</v>
      </c>
      <c r="O106" s="467">
        <v>0</v>
      </c>
      <c r="P106" s="516">
        <f>O106*L106</f>
        <v>0</v>
      </c>
      <c r="Q106" s="467">
        <f>L15</f>
        <v>4.2857142857142865</v>
      </c>
      <c r="R106" s="467">
        <v>0.6666666666666666</v>
      </c>
      <c r="S106" s="467">
        <f>L106*Q106*R106</f>
        <v>0</v>
      </c>
      <c r="T106" s="607"/>
      <c r="U106" s="602"/>
      <c r="V106" s="604">
        <f>S106</f>
        <v>0</v>
      </c>
      <c r="W106" s="602"/>
      <c r="X106" s="609"/>
      <c r="Y106" s="602"/>
      <c r="Z106" s="603"/>
      <c r="AA106" s="76"/>
      <c r="AB106" s="76"/>
      <c r="AC106" s="76"/>
    </row>
    <row r="107" spans="1:29" ht="15.75">
      <c r="A107" s="393"/>
      <c r="B107" s="424"/>
      <c r="C107" s="390" t="s">
        <v>296</v>
      </c>
      <c r="D107" s="390"/>
      <c r="I107" s="425"/>
      <c r="J107" s="425">
        <f>LINEA!H20</f>
        <v>0</v>
      </c>
      <c r="K107" s="425">
        <v>3</v>
      </c>
      <c r="L107" s="425">
        <f>K107*(I107+J107)</f>
        <v>0</v>
      </c>
      <c r="M107" s="467">
        <f>C16</f>
        <v>2.5</v>
      </c>
      <c r="N107" s="467">
        <f>L107*M107</f>
        <v>0</v>
      </c>
      <c r="O107" s="467">
        <f>G19</f>
        <v>2.5</v>
      </c>
      <c r="P107" s="467">
        <f>O107*L107</f>
        <v>0</v>
      </c>
      <c r="Q107" s="467">
        <f>L21</f>
        <v>3.142857142857143</v>
      </c>
      <c r="R107" s="467">
        <v>0.8888888888888888</v>
      </c>
      <c r="S107" s="467">
        <f>L107*Q107*R107</f>
        <v>0</v>
      </c>
      <c r="T107" s="607"/>
      <c r="U107" s="602"/>
      <c r="V107" s="602"/>
      <c r="W107" s="604">
        <f>S107</f>
        <v>0</v>
      </c>
      <c r="X107" s="609"/>
      <c r="Y107" s="602"/>
      <c r="Z107" s="603"/>
      <c r="AA107" s="76"/>
      <c r="AB107" s="76"/>
      <c r="AC107" s="76"/>
    </row>
    <row r="108" spans="1:29" ht="15.75">
      <c r="A108" s="393"/>
      <c r="B108" s="424"/>
      <c r="C108" s="390" t="s">
        <v>298</v>
      </c>
      <c r="D108" s="390"/>
      <c r="I108" s="425"/>
      <c r="J108" s="425">
        <f>LINEA!H21</f>
        <v>0</v>
      </c>
      <c r="K108" s="425">
        <v>1</v>
      </c>
      <c r="L108" s="425">
        <f>K108*(I108+J108)</f>
        <v>0</v>
      </c>
      <c r="M108" s="467">
        <f>C15</f>
        <v>3.333333333333333</v>
      </c>
      <c r="N108" s="467">
        <f>L108*M108</f>
        <v>0</v>
      </c>
      <c r="O108" s="467">
        <f>G17</f>
        <v>3.2142857142857144</v>
      </c>
      <c r="P108" s="467">
        <f>O108*L108</f>
        <v>0</v>
      </c>
      <c r="Q108" s="467">
        <f>L15</f>
        <v>4.2857142857142865</v>
      </c>
      <c r="R108" s="467">
        <v>0.8888888888888888</v>
      </c>
      <c r="S108" s="467">
        <f>L108*Q108*R108</f>
        <v>0</v>
      </c>
      <c r="T108" s="607"/>
      <c r="U108" s="604">
        <f>S108</f>
        <v>0</v>
      </c>
      <c r="V108" s="602"/>
      <c r="W108" s="602"/>
      <c r="X108" s="609"/>
      <c r="Y108" s="602"/>
      <c r="Z108" s="603"/>
      <c r="AA108" s="76"/>
      <c r="AB108" s="76"/>
      <c r="AC108" s="76"/>
    </row>
    <row r="109" spans="1:29" ht="16.5" thickBot="1">
      <c r="A109" s="393"/>
      <c r="B109" s="424"/>
      <c r="C109" s="390" t="s">
        <v>431</v>
      </c>
      <c r="D109" s="390"/>
      <c r="I109" s="425"/>
      <c r="J109" s="425">
        <f>LINEA!H31</f>
        <v>0</v>
      </c>
      <c r="K109" s="425">
        <v>2</v>
      </c>
      <c r="L109" s="425">
        <f>K109*(I109+J109)</f>
        <v>0</v>
      </c>
      <c r="M109" s="467">
        <f>C18</f>
        <v>1.6666666666666665</v>
      </c>
      <c r="N109" s="467">
        <f>L109*M109</f>
        <v>0</v>
      </c>
      <c r="O109" s="467">
        <f>G22</f>
        <v>1.4285714285714284</v>
      </c>
      <c r="P109" s="467">
        <f>O109*L109</f>
        <v>0</v>
      </c>
      <c r="Q109" s="467">
        <f>L23</f>
        <v>2.571428571428571</v>
      </c>
      <c r="R109" s="467">
        <v>0.3333333333333333</v>
      </c>
      <c r="S109" s="467">
        <f>L109*Q109*R109</f>
        <v>0</v>
      </c>
      <c r="T109" s="607"/>
      <c r="U109" s="602"/>
      <c r="V109" s="602"/>
      <c r="W109" s="602"/>
      <c r="X109" s="609">
        <f>S109</f>
        <v>0</v>
      </c>
      <c r="Y109" s="602"/>
      <c r="Z109" s="603"/>
      <c r="AA109" s="76"/>
      <c r="AB109" s="76"/>
      <c r="AC109" s="76"/>
    </row>
    <row r="110" spans="1:29" ht="13.5" thickBot="1">
      <c r="A110" s="389"/>
      <c r="B110" s="388" t="s">
        <v>14</v>
      </c>
      <c r="C110" s="398"/>
      <c r="D110" s="398"/>
      <c r="E110" s="398"/>
      <c r="F110" s="398"/>
      <c r="G110" s="398"/>
      <c r="H110" s="428"/>
      <c r="I110" s="381">
        <f>SUM(I111:I150)</f>
        <v>0</v>
      </c>
      <c r="J110" s="381">
        <f>SUM(J111:J150)</f>
        <v>0</v>
      </c>
      <c r="K110" s="381"/>
      <c r="L110" s="381">
        <f>SUM(L111:L150)</f>
        <v>0</v>
      </c>
      <c r="M110" s="436">
        <f>SUM(M111:M150)</f>
        <v>62.50000000000001</v>
      </c>
      <c r="N110" s="436">
        <f>SUM(N111:N150)</f>
        <v>0</v>
      </c>
      <c r="O110" s="436">
        <f>SUM(O111:O150)</f>
        <v>38.64285714285715</v>
      </c>
      <c r="P110" s="436">
        <f>SUM(P111:P150)</f>
        <v>0</v>
      </c>
      <c r="Q110" s="606"/>
      <c r="R110" s="606"/>
      <c r="S110" s="503">
        <f>SUM(S111:S150)</f>
        <v>0</v>
      </c>
      <c r="T110" s="601"/>
      <c r="U110" s="602"/>
      <c r="V110" s="602"/>
      <c r="W110" s="602"/>
      <c r="X110" s="609"/>
      <c r="Y110" s="602"/>
      <c r="Z110" s="603"/>
      <c r="AA110" s="76"/>
      <c r="AB110" s="76"/>
      <c r="AC110" s="76"/>
    </row>
    <row r="111" spans="1:29" ht="15.75">
      <c r="A111" s="393">
        <v>1</v>
      </c>
      <c r="B111" s="424" t="s">
        <v>433</v>
      </c>
      <c r="C111" s="390"/>
      <c r="D111" s="390"/>
      <c r="I111" s="425"/>
      <c r="J111" s="408"/>
      <c r="K111" s="425"/>
      <c r="L111" s="425">
        <f>K111*(I111+J111)</f>
        <v>0</v>
      </c>
      <c r="M111" s="467"/>
      <c r="N111" s="467"/>
      <c r="O111" s="467"/>
      <c r="P111" s="467"/>
      <c r="Q111" s="467"/>
      <c r="R111" s="467"/>
      <c r="S111" s="468"/>
      <c r="T111" s="601"/>
      <c r="U111" s="602"/>
      <c r="V111" s="602"/>
      <c r="W111" s="602"/>
      <c r="X111" s="609"/>
      <c r="Y111" s="602"/>
      <c r="Z111" s="603"/>
      <c r="AA111" s="76"/>
      <c r="AB111" s="76"/>
      <c r="AC111" s="76"/>
    </row>
    <row r="112" spans="1:29" ht="12.75">
      <c r="A112" s="393"/>
      <c r="B112" s="390"/>
      <c r="C112" s="590" t="s">
        <v>293</v>
      </c>
      <c r="D112" s="390"/>
      <c r="I112" s="425">
        <f>ELITE!H6</f>
        <v>0</v>
      </c>
      <c r="J112" s="425">
        <f>ELITE!H12</f>
        <v>0</v>
      </c>
      <c r="K112" s="425">
        <v>4</v>
      </c>
      <c r="L112" s="425">
        <f aca="true" t="shared" si="12" ref="L112:L150">K112*(I112+J112)</f>
        <v>0</v>
      </c>
      <c r="M112" s="468">
        <f>C18</f>
        <v>1.6666666666666665</v>
      </c>
      <c r="N112" s="468">
        <f>L112*M112</f>
        <v>0</v>
      </c>
      <c r="O112" s="468">
        <f>G21</f>
        <v>1.7857142857142858</v>
      </c>
      <c r="P112" s="467">
        <f>L112*O112</f>
        <v>0</v>
      </c>
      <c r="Q112" s="468">
        <f>L17</f>
        <v>4</v>
      </c>
      <c r="R112" s="468">
        <v>0.6666666666666666</v>
      </c>
      <c r="S112" s="468">
        <f>L112*Q112*R112</f>
        <v>0</v>
      </c>
      <c r="T112" s="601"/>
      <c r="U112" s="609">
        <f>S112*1/6</f>
        <v>0</v>
      </c>
      <c r="V112" s="602"/>
      <c r="W112" s="602">
        <f>S112*5/6</f>
        <v>0</v>
      </c>
      <c r="X112" s="580"/>
      <c r="Y112" s="602"/>
      <c r="Z112" s="603"/>
      <c r="AA112" s="76"/>
      <c r="AB112" s="76"/>
      <c r="AC112" s="76"/>
    </row>
    <row r="113" spans="1:29" ht="12.75">
      <c r="A113" s="393"/>
      <c r="B113" s="390"/>
      <c r="C113" s="590" t="s">
        <v>294</v>
      </c>
      <c r="D113" s="390"/>
      <c r="I113" s="425"/>
      <c r="J113" s="408">
        <f>ELITE!H13</f>
        <v>0</v>
      </c>
      <c r="K113" s="425">
        <v>3</v>
      </c>
      <c r="L113" s="425">
        <f t="shared" si="12"/>
        <v>0</v>
      </c>
      <c r="M113" s="467">
        <f>C16</f>
        <v>2.5</v>
      </c>
      <c r="N113" s="468">
        <f aca="true" t="shared" si="13" ref="N113:N150">L113*M113</f>
        <v>0</v>
      </c>
      <c r="O113" s="467">
        <f>G19</f>
        <v>2.5</v>
      </c>
      <c r="P113" s="467">
        <f aca="true" t="shared" si="14" ref="P113:P150">L113*O113</f>
        <v>0</v>
      </c>
      <c r="Q113" s="467">
        <f>L15</f>
        <v>4.2857142857142865</v>
      </c>
      <c r="R113" s="467">
        <v>0.5185185185185185</v>
      </c>
      <c r="S113" s="468">
        <f aca="true" t="shared" si="15" ref="S113:S150">L113*Q113*R113</f>
        <v>0</v>
      </c>
      <c r="T113" s="601"/>
      <c r="U113" s="609">
        <f>S113</f>
        <v>0</v>
      </c>
      <c r="V113" s="602"/>
      <c r="X113" s="580"/>
      <c r="Y113" s="602"/>
      <c r="Z113" s="603"/>
      <c r="AA113" s="76"/>
      <c r="AB113" s="76"/>
      <c r="AC113" s="76"/>
    </row>
    <row r="114" spans="1:29" ht="12.75">
      <c r="A114" s="393"/>
      <c r="B114" s="390"/>
      <c r="C114" s="590" t="s">
        <v>295</v>
      </c>
      <c r="D114" s="390"/>
      <c r="I114" s="425"/>
      <c r="J114" s="408">
        <f>ELITE!H14</f>
        <v>0</v>
      </c>
      <c r="K114" s="425">
        <v>1</v>
      </c>
      <c r="L114" s="425">
        <f t="shared" si="12"/>
        <v>0</v>
      </c>
      <c r="M114" s="467">
        <f>C18</f>
        <v>1.6666666666666665</v>
      </c>
      <c r="N114" s="468">
        <f t="shared" si="13"/>
        <v>0</v>
      </c>
      <c r="O114" s="467">
        <f>G21</f>
        <v>1.7857142857142858</v>
      </c>
      <c r="P114" s="467">
        <f t="shared" si="14"/>
        <v>0</v>
      </c>
      <c r="Q114" s="467">
        <f>L15</f>
        <v>4.2857142857142865</v>
      </c>
      <c r="R114" s="467">
        <v>0.6666666666666666</v>
      </c>
      <c r="S114" s="468">
        <f t="shared" si="15"/>
        <v>0</v>
      </c>
      <c r="T114" s="610">
        <f>S114</f>
        <v>0</v>
      </c>
      <c r="U114" s="602"/>
      <c r="V114" s="602"/>
      <c r="W114" s="609"/>
      <c r="X114" s="580"/>
      <c r="Y114" s="602"/>
      <c r="Z114" s="603"/>
      <c r="AA114" s="76"/>
      <c r="AB114" s="76"/>
      <c r="AC114" s="76"/>
    </row>
    <row r="115" spans="1:29" ht="12.75">
      <c r="A115" s="393"/>
      <c r="B115" s="390"/>
      <c r="C115" s="390" t="s">
        <v>296</v>
      </c>
      <c r="D115" s="390"/>
      <c r="I115" s="425"/>
      <c r="J115" s="408">
        <f>ELITE!H15</f>
        <v>0</v>
      </c>
      <c r="K115" s="425">
        <v>3</v>
      </c>
      <c r="L115" s="425">
        <f t="shared" si="12"/>
        <v>0</v>
      </c>
      <c r="M115" s="467">
        <f>C16</f>
        <v>2.5</v>
      </c>
      <c r="N115" s="468">
        <f t="shared" si="13"/>
        <v>0</v>
      </c>
      <c r="O115" s="467">
        <f>G19</f>
        <v>2.5</v>
      </c>
      <c r="P115" s="467">
        <f t="shared" si="14"/>
        <v>0</v>
      </c>
      <c r="Q115" s="467">
        <f>L21</f>
        <v>3.142857142857143</v>
      </c>
      <c r="R115" s="467">
        <v>0.8888888888888888</v>
      </c>
      <c r="S115" s="468">
        <f t="shared" si="15"/>
        <v>0</v>
      </c>
      <c r="T115" s="601"/>
      <c r="U115" s="602"/>
      <c r="V115" s="602"/>
      <c r="W115" s="609">
        <f>S115</f>
        <v>0</v>
      </c>
      <c r="X115" s="580"/>
      <c r="Y115" s="602"/>
      <c r="Z115" s="603"/>
      <c r="AA115" s="76"/>
      <c r="AB115" s="76"/>
      <c r="AC115" s="76"/>
    </row>
    <row r="116" spans="1:29" ht="12.75">
      <c r="A116" s="393"/>
      <c r="B116" s="390"/>
      <c r="C116" s="590" t="s">
        <v>297</v>
      </c>
      <c r="D116" s="390"/>
      <c r="I116" s="425"/>
      <c r="J116" s="408">
        <f>ELITE!H16</f>
        <v>0</v>
      </c>
      <c r="K116" s="425">
        <v>2</v>
      </c>
      <c r="L116" s="425">
        <f t="shared" si="12"/>
        <v>0</v>
      </c>
      <c r="M116" s="467">
        <f>C15</f>
        <v>3.333333333333333</v>
      </c>
      <c r="N116" s="468">
        <f t="shared" si="13"/>
        <v>0</v>
      </c>
      <c r="O116" s="467">
        <f>G17</f>
        <v>3.2142857142857144</v>
      </c>
      <c r="P116" s="467">
        <f t="shared" si="14"/>
        <v>0</v>
      </c>
      <c r="Q116" s="467">
        <f>L15</f>
        <v>4.2857142857142865</v>
      </c>
      <c r="R116" s="467">
        <v>0.8888888888888888</v>
      </c>
      <c r="S116" s="468">
        <f t="shared" si="15"/>
        <v>0</v>
      </c>
      <c r="T116" s="601"/>
      <c r="U116" s="602"/>
      <c r="V116" s="602"/>
      <c r="W116" s="609">
        <f>S116</f>
        <v>0</v>
      </c>
      <c r="X116" s="580"/>
      <c r="Y116" s="602"/>
      <c r="Z116" s="603"/>
      <c r="AA116" s="76"/>
      <c r="AB116" s="76"/>
      <c r="AC116" s="76"/>
    </row>
    <row r="117" spans="1:29" ht="12.75">
      <c r="A117" s="393"/>
      <c r="B117" s="390"/>
      <c r="C117" s="590" t="s">
        <v>298</v>
      </c>
      <c r="D117" s="390"/>
      <c r="I117" s="425"/>
      <c r="J117" s="408">
        <f>ELITE!H17</f>
        <v>0</v>
      </c>
      <c r="K117" s="425">
        <v>1</v>
      </c>
      <c r="L117" s="425">
        <f t="shared" si="12"/>
        <v>0</v>
      </c>
      <c r="M117" s="467">
        <f>C15</f>
        <v>3.333333333333333</v>
      </c>
      <c r="N117" s="468">
        <f t="shared" si="13"/>
        <v>0</v>
      </c>
      <c r="O117" s="467">
        <f>G17</f>
        <v>3.2142857142857144</v>
      </c>
      <c r="P117" s="467">
        <f t="shared" si="14"/>
        <v>0</v>
      </c>
      <c r="Q117" s="467">
        <f>L15</f>
        <v>4.2857142857142865</v>
      </c>
      <c r="R117" s="467">
        <v>0.8888888888888888</v>
      </c>
      <c r="S117" s="468">
        <f t="shared" si="15"/>
        <v>0</v>
      </c>
      <c r="T117" s="601"/>
      <c r="U117" s="604">
        <f>S117</f>
        <v>0</v>
      </c>
      <c r="V117" s="602"/>
      <c r="W117" s="609"/>
      <c r="X117" s="580"/>
      <c r="Y117" s="602"/>
      <c r="Z117" s="603"/>
      <c r="AA117" s="76"/>
      <c r="AB117" s="76"/>
      <c r="AC117" s="76"/>
    </row>
    <row r="118" spans="1:29" ht="12.75">
      <c r="A118" s="393"/>
      <c r="B118" s="390"/>
      <c r="C118" s="590" t="s">
        <v>299</v>
      </c>
      <c r="D118" s="390"/>
      <c r="I118" s="425">
        <f>ELITE!H9+ELITE!H8</f>
        <v>0</v>
      </c>
      <c r="J118" s="408">
        <f>ELITE!H18</f>
        <v>0</v>
      </c>
      <c r="K118" s="425">
        <v>3</v>
      </c>
      <c r="L118" s="425">
        <f t="shared" si="12"/>
        <v>0</v>
      </c>
      <c r="M118" s="467">
        <f>C15</f>
        <v>3.333333333333333</v>
      </c>
      <c r="N118" s="468">
        <f t="shared" si="13"/>
        <v>0</v>
      </c>
      <c r="O118" s="467">
        <f>G17</f>
        <v>3.2142857142857144</v>
      </c>
      <c r="P118" s="467">
        <f t="shared" si="14"/>
        <v>0</v>
      </c>
      <c r="Q118" s="467">
        <f>L23</f>
        <v>2.571428571428571</v>
      </c>
      <c r="R118" s="467">
        <v>0.5185185185185185</v>
      </c>
      <c r="S118" s="468">
        <f t="shared" si="15"/>
        <v>0</v>
      </c>
      <c r="T118" s="601"/>
      <c r="U118" s="602"/>
      <c r="V118" s="602"/>
      <c r="W118" s="609"/>
      <c r="X118" s="580"/>
      <c r="Y118" s="604">
        <f>S118</f>
        <v>0</v>
      </c>
      <c r="Z118" s="603"/>
      <c r="AA118" s="76"/>
      <c r="AB118" s="76"/>
      <c r="AC118" s="76"/>
    </row>
    <row r="119" spans="1:29" ht="12.75">
      <c r="A119" s="393"/>
      <c r="B119" s="390"/>
      <c r="C119" s="590" t="s">
        <v>290</v>
      </c>
      <c r="D119" s="390"/>
      <c r="I119" s="425">
        <f>ELITE!H7</f>
        <v>0</v>
      </c>
      <c r="J119" s="408">
        <f>ELITE!H19</f>
        <v>0</v>
      </c>
      <c r="K119" s="425">
        <v>4</v>
      </c>
      <c r="L119" s="425">
        <f t="shared" si="12"/>
        <v>0</v>
      </c>
      <c r="M119" s="467" t="str">
        <f>C21</f>
        <v>0.5</v>
      </c>
      <c r="N119" s="468">
        <f t="shared" si="13"/>
        <v>0</v>
      </c>
      <c r="O119" s="467">
        <f>G26</f>
        <v>0.5</v>
      </c>
      <c r="P119" s="467">
        <f t="shared" si="14"/>
        <v>0</v>
      </c>
      <c r="Q119" s="467">
        <f>L21</f>
        <v>3.142857142857143</v>
      </c>
      <c r="R119" s="467">
        <v>1</v>
      </c>
      <c r="S119" s="468">
        <f t="shared" si="15"/>
        <v>0</v>
      </c>
      <c r="T119" s="601"/>
      <c r="U119" s="602"/>
      <c r="V119" s="602"/>
      <c r="W119" s="609">
        <f>S119</f>
        <v>0</v>
      </c>
      <c r="X119" s="580"/>
      <c r="Y119" s="602"/>
      <c r="Z119" s="603"/>
      <c r="AA119" s="76"/>
      <c r="AB119" s="76"/>
      <c r="AC119" s="76"/>
    </row>
    <row r="120" spans="1:29" ht="12.75">
      <c r="A120" s="393"/>
      <c r="B120" s="390"/>
      <c r="C120" s="590" t="s">
        <v>432</v>
      </c>
      <c r="D120" s="390"/>
      <c r="I120" s="425">
        <f>ELITE!H5+ELITE!H8</f>
        <v>0</v>
      </c>
      <c r="J120" s="408">
        <f>ELITE!H20</f>
        <v>0</v>
      </c>
      <c r="K120" s="425">
        <v>2</v>
      </c>
      <c r="L120" s="425">
        <f t="shared" si="12"/>
        <v>0</v>
      </c>
      <c r="M120" s="467">
        <f>C18</f>
        <v>1.6666666666666665</v>
      </c>
      <c r="N120" s="468">
        <f t="shared" si="13"/>
        <v>0</v>
      </c>
      <c r="O120" s="467">
        <f>G21</f>
        <v>1.7857142857142858</v>
      </c>
      <c r="P120" s="467">
        <f t="shared" si="14"/>
        <v>0</v>
      </c>
      <c r="Q120" s="467">
        <f>L23</f>
        <v>2.571428571428571</v>
      </c>
      <c r="R120" s="467">
        <v>0.6666666666666666</v>
      </c>
      <c r="S120" s="468">
        <f t="shared" si="15"/>
        <v>0</v>
      </c>
      <c r="T120" s="601"/>
      <c r="U120" s="602"/>
      <c r="V120" s="602"/>
      <c r="W120" s="609"/>
      <c r="X120" s="611">
        <f>S120</f>
        <v>0</v>
      </c>
      <c r="Y120" s="602"/>
      <c r="Z120" s="603"/>
      <c r="AA120" s="76"/>
      <c r="AB120" s="76"/>
      <c r="AC120" s="76"/>
    </row>
    <row r="121" spans="1:29" ht="15.75">
      <c r="A121" s="393">
        <v>2</v>
      </c>
      <c r="B121" s="424" t="s">
        <v>301</v>
      </c>
      <c r="C121" s="390"/>
      <c r="D121" s="390"/>
      <c r="I121" s="425"/>
      <c r="J121" s="408"/>
      <c r="K121" s="425"/>
      <c r="L121" s="425">
        <f t="shared" si="12"/>
        <v>0</v>
      </c>
      <c r="M121" s="467"/>
      <c r="N121" s="468">
        <f t="shared" si="13"/>
        <v>0</v>
      </c>
      <c r="O121" s="467"/>
      <c r="P121" s="467">
        <f t="shared" si="14"/>
        <v>0</v>
      </c>
      <c r="Q121" s="467"/>
      <c r="R121" s="467"/>
      <c r="S121" s="468">
        <f t="shared" si="15"/>
        <v>0</v>
      </c>
      <c r="T121" s="601"/>
      <c r="U121" s="602"/>
      <c r="V121" s="602"/>
      <c r="W121" s="602"/>
      <c r="X121" s="609"/>
      <c r="Y121" s="602"/>
      <c r="Z121" s="603"/>
      <c r="AA121" s="76"/>
      <c r="AB121" s="76"/>
      <c r="AC121" s="76"/>
    </row>
    <row r="122" spans="1:29" ht="15.75">
      <c r="A122" s="393"/>
      <c r="B122" s="424"/>
      <c r="C122" s="590" t="s">
        <v>113</v>
      </c>
      <c r="D122" s="390"/>
      <c r="I122" s="425">
        <f>ELITE!H23</f>
        <v>0</v>
      </c>
      <c r="J122" s="408"/>
      <c r="K122" s="425">
        <v>1</v>
      </c>
      <c r="L122" s="425">
        <f t="shared" si="12"/>
        <v>0</v>
      </c>
      <c r="M122" s="425">
        <f>M93</f>
        <v>0.8333333333333333</v>
      </c>
      <c r="N122" s="468">
        <f t="shared" si="13"/>
        <v>0</v>
      </c>
      <c r="O122" s="425">
        <f>O93</f>
        <v>1.0714285714285714</v>
      </c>
      <c r="P122" s="467">
        <f t="shared" si="14"/>
        <v>0</v>
      </c>
      <c r="Q122" s="425">
        <f>Q93</f>
        <v>2.571428571428571</v>
      </c>
      <c r="R122" s="425">
        <v>0.6666666666666666</v>
      </c>
      <c r="S122" s="468">
        <f t="shared" si="15"/>
        <v>0</v>
      </c>
      <c r="T122" s="601"/>
      <c r="U122" s="602"/>
      <c r="V122" s="602"/>
      <c r="W122" s="602"/>
      <c r="X122" s="609">
        <f>S122</f>
        <v>0</v>
      </c>
      <c r="Y122" s="602"/>
      <c r="Z122" s="603"/>
      <c r="AA122" s="76"/>
      <c r="AB122" s="76"/>
      <c r="AC122" s="76"/>
    </row>
    <row r="123" spans="1:29" ht="15.75">
      <c r="A123" s="393"/>
      <c r="B123" s="424"/>
      <c r="C123" s="390" t="s">
        <v>274</v>
      </c>
      <c r="D123" s="390"/>
      <c r="I123" s="425">
        <f>ELITE!H24</f>
        <v>0</v>
      </c>
      <c r="J123" s="408"/>
      <c r="K123" s="425">
        <v>1</v>
      </c>
      <c r="L123" s="425">
        <f t="shared" si="12"/>
        <v>0</v>
      </c>
      <c r="M123" s="425">
        <f>M94</f>
        <v>0.8333333333333333</v>
      </c>
      <c r="N123" s="468">
        <f t="shared" si="13"/>
        <v>0</v>
      </c>
      <c r="O123" s="425">
        <f>O94</f>
        <v>1.0714285714285714</v>
      </c>
      <c r="P123" s="467">
        <f t="shared" si="14"/>
        <v>0</v>
      </c>
      <c r="Q123" s="425">
        <f>Q94</f>
        <v>4.2857142857142865</v>
      </c>
      <c r="R123" s="425">
        <v>0.6666666666666666</v>
      </c>
      <c r="S123" s="468">
        <f t="shared" si="15"/>
        <v>0</v>
      </c>
      <c r="T123" s="601"/>
      <c r="U123" s="604">
        <f>S123</f>
        <v>0</v>
      </c>
      <c r="V123" s="602"/>
      <c r="W123" s="602"/>
      <c r="X123" s="609"/>
      <c r="Y123" s="602"/>
      <c r="Z123" s="603"/>
      <c r="AA123" s="76"/>
      <c r="AB123" s="76"/>
      <c r="AC123" s="76"/>
    </row>
    <row r="124" spans="1:29" ht="15.75">
      <c r="A124" s="393"/>
      <c r="B124" s="424"/>
      <c r="C124" s="390" t="s">
        <v>416</v>
      </c>
      <c r="D124" s="390"/>
      <c r="I124" s="425">
        <f>ELITE!H25</f>
        <v>0</v>
      </c>
      <c r="J124" s="408"/>
      <c r="K124" s="425">
        <v>1.5</v>
      </c>
      <c r="L124" s="425">
        <f t="shared" si="12"/>
        <v>0</v>
      </c>
      <c r="M124" s="425">
        <f>M95</f>
        <v>1.25</v>
      </c>
      <c r="N124" s="468">
        <f t="shared" si="13"/>
        <v>0</v>
      </c>
      <c r="O124" s="425">
        <f>O95</f>
        <v>1.4285714285714284</v>
      </c>
      <c r="P124" s="467">
        <f t="shared" si="14"/>
        <v>0</v>
      </c>
      <c r="Q124" s="425">
        <f>Q95</f>
        <v>2.571428571428571</v>
      </c>
      <c r="R124" s="425">
        <v>0.6666666666666666</v>
      </c>
      <c r="S124" s="468">
        <f t="shared" si="15"/>
        <v>0</v>
      </c>
      <c r="T124" s="601"/>
      <c r="U124" s="602"/>
      <c r="V124" s="602"/>
      <c r="W124" s="602"/>
      <c r="X124" s="609">
        <f>S124</f>
        <v>0</v>
      </c>
      <c r="Y124" s="602"/>
      <c r="Z124" s="603"/>
      <c r="AA124" s="76"/>
      <c r="AB124" s="76"/>
      <c r="AC124" s="76"/>
    </row>
    <row r="125" spans="1:29" ht="15.75">
      <c r="A125" s="393"/>
      <c r="B125" s="424"/>
      <c r="C125" s="390" t="s">
        <v>434</v>
      </c>
      <c r="D125" s="390"/>
      <c r="I125" s="425">
        <f>ELITE!H26+ELITE!H28+ELITE!H27</f>
        <v>0</v>
      </c>
      <c r="J125" s="408"/>
      <c r="K125" s="425">
        <v>1</v>
      </c>
      <c r="L125" s="425">
        <f t="shared" si="12"/>
        <v>0</v>
      </c>
      <c r="M125" s="425">
        <f>M94</f>
        <v>0.8333333333333333</v>
      </c>
      <c r="N125" s="468">
        <f t="shared" si="13"/>
        <v>0</v>
      </c>
      <c r="O125" s="425">
        <f>O94</f>
        <v>1.0714285714285714</v>
      </c>
      <c r="P125" s="467">
        <f t="shared" si="14"/>
        <v>0</v>
      </c>
      <c r="Q125" s="425">
        <f>Q94</f>
        <v>4.2857142857142865</v>
      </c>
      <c r="R125" s="468">
        <v>0.8888888888888888</v>
      </c>
      <c r="S125" s="468">
        <f t="shared" si="15"/>
        <v>0</v>
      </c>
      <c r="T125" s="601"/>
      <c r="U125" s="604">
        <f>S125</f>
        <v>0</v>
      </c>
      <c r="V125" s="602"/>
      <c r="W125" s="602"/>
      <c r="X125" s="609"/>
      <c r="Y125" s="602"/>
      <c r="Z125" s="603"/>
      <c r="AA125" s="76"/>
      <c r="AB125" s="76"/>
      <c r="AC125" s="76"/>
    </row>
    <row r="126" spans="1:29" ht="15.75">
      <c r="A126" s="393"/>
      <c r="B126" s="424"/>
      <c r="C126" s="390" t="s">
        <v>280</v>
      </c>
      <c r="D126" s="390"/>
      <c r="I126" s="425">
        <f>ELITE!H26+ELITE!H27+ELITE!H28</f>
        <v>0</v>
      </c>
      <c r="J126" s="408"/>
      <c r="K126" s="425">
        <v>4</v>
      </c>
      <c r="L126" s="425">
        <f t="shared" si="12"/>
        <v>0</v>
      </c>
      <c r="M126" s="425" t="str">
        <f>M98</f>
        <v>0.5</v>
      </c>
      <c r="N126" s="468">
        <f t="shared" si="13"/>
        <v>0</v>
      </c>
      <c r="O126" s="425">
        <f>O98</f>
        <v>0.5</v>
      </c>
      <c r="P126" s="467">
        <f t="shared" si="14"/>
        <v>0</v>
      </c>
      <c r="Q126" s="425">
        <f>Q98</f>
        <v>2.571428571428571</v>
      </c>
      <c r="R126" s="425">
        <v>1</v>
      </c>
      <c r="S126" s="468">
        <f t="shared" si="15"/>
        <v>0</v>
      </c>
      <c r="T126" s="601"/>
      <c r="U126" s="602"/>
      <c r="V126" s="602"/>
      <c r="W126" s="602"/>
      <c r="X126" s="609">
        <f>S126</f>
        <v>0</v>
      </c>
      <c r="Y126" s="602"/>
      <c r="Z126" s="603"/>
      <c r="AA126" s="76"/>
      <c r="AB126" s="76"/>
      <c r="AC126" s="76"/>
    </row>
    <row r="127" spans="1:29" ht="15.75">
      <c r="A127" s="393"/>
      <c r="B127" s="424"/>
      <c r="C127" s="390" t="s">
        <v>435</v>
      </c>
      <c r="D127" s="390"/>
      <c r="I127" s="425">
        <f>ELITE!H29</f>
        <v>0</v>
      </c>
      <c r="J127" s="408"/>
      <c r="K127" s="425">
        <v>3</v>
      </c>
      <c r="L127" s="425">
        <f t="shared" si="12"/>
        <v>0</v>
      </c>
      <c r="M127" s="425">
        <f>M99</f>
        <v>2.5</v>
      </c>
      <c r="N127" s="468">
        <f t="shared" si="13"/>
        <v>0</v>
      </c>
      <c r="O127" s="425">
        <f>O99</f>
        <v>0</v>
      </c>
      <c r="P127" s="467">
        <f t="shared" si="14"/>
        <v>0</v>
      </c>
      <c r="Q127" s="468">
        <f>Q99</f>
        <v>3.142857142857143</v>
      </c>
      <c r="R127" s="468">
        <v>0.6666666666666666</v>
      </c>
      <c r="S127" s="468">
        <f t="shared" si="15"/>
        <v>0</v>
      </c>
      <c r="T127" s="601"/>
      <c r="U127" s="602"/>
      <c r="V127" s="602"/>
      <c r="W127" s="602">
        <f>S127</f>
        <v>0</v>
      </c>
      <c r="X127" s="609"/>
      <c r="Y127" s="602"/>
      <c r="Z127" s="603"/>
      <c r="AA127" s="76"/>
      <c r="AB127" s="76"/>
      <c r="AC127" s="76"/>
    </row>
    <row r="128" spans="1:29" ht="15.75">
      <c r="A128" s="393"/>
      <c r="B128" s="424"/>
      <c r="C128" s="390" t="s">
        <v>439</v>
      </c>
      <c r="D128" s="390"/>
      <c r="I128" s="425">
        <f>ELITE!H30</f>
        <v>0</v>
      </c>
      <c r="J128" s="408"/>
      <c r="K128" s="425">
        <v>1</v>
      </c>
      <c r="L128" s="425">
        <f t="shared" si="12"/>
        <v>0</v>
      </c>
      <c r="M128" s="425">
        <f>M100</f>
        <v>1.6666666666666665</v>
      </c>
      <c r="N128" s="468">
        <f t="shared" si="13"/>
        <v>0</v>
      </c>
      <c r="O128" s="425">
        <f>O100</f>
        <v>0</v>
      </c>
      <c r="P128" s="467">
        <f t="shared" si="14"/>
        <v>0</v>
      </c>
      <c r="Q128" s="468">
        <f>Q100</f>
        <v>4.2857142857142865</v>
      </c>
      <c r="R128" s="468">
        <v>0.6666666666666666</v>
      </c>
      <c r="S128" s="468">
        <f t="shared" si="15"/>
        <v>0</v>
      </c>
      <c r="T128" s="601">
        <f>S128</f>
        <v>0</v>
      </c>
      <c r="U128" s="602"/>
      <c r="V128" s="602"/>
      <c r="W128" s="602"/>
      <c r="X128" s="609"/>
      <c r="Y128" s="602"/>
      <c r="Z128" s="603"/>
      <c r="AA128" s="76"/>
      <c r="AB128" s="76"/>
      <c r="AC128" s="76"/>
    </row>
    <row r="129" spans="1:29" ht="15.75">
      <c r="A129" s="393"/>
      <c r="B129" s="424"/>
      <c r="C129" s="390" t="s">
        <v>436</v>
      </c>
      <c r="D129" s="390"/>
      <c r="I129" s="425">
        <f>ELITE!H31</f>
        <v>0</v>
      </c>
      <c r="J129" s="408"/>
      <c r="K129" s="425">
        <v>3</v>
      </c>
      <c r="L129" s="425">
        <f t="shared" si="12"/>
        <v>0</v>
      </c>
      <c r="M129" s="425">
        <f>M101</f>
        <v>2.5</v>
      </c>
      <c r="N129" s="468">
        <f t="shared" si="13"/>
        <v>0</v>
      </c>
      <c r="O129" s="425">
        <f>O101</f>
        <v>0</v>
      </c>
      <c r="P129" s="467">
        <f t="shared" si="14"/>
        <v>0</v>
      </c>
      <c r="Q129" s="468">
        <f>Q101</f>
        <v>4.2857142857142865</v>
      </c>
      <c r="R129" s="468">
        <v>0.43209876543209874</v>
      </c>
      <c r="S129" s="468">
        <f t="shared" si="15"/>
        <v>0</v>
      </c>
      <c r="T129" s="601"/>
      <c r="U129" s="602">
        <f>S129</f>
        <v>0</v>
      </c>
      <c r="V129" s="602"/>
      <c r="W129" s="602"/>
      <c r="X129" s="609"/>
      <c r="Y129" s="602"/>
      <c r="Z129" s="603"/>
      <c r="AA129" s="76"/>
      <c r="AB129" s="76"/>
      <c r="AC129" s="76"/>
    </row>
    <row r="130" spans="1:29" ht="15.75">
      <c r="A130" s="393">
        <v>3</v>
      </c>
      <c r="B130" s="424" t="s">
        <v>307</v>
      </c>
      <c r="C130" s="390"/>
      <c r="D130" s="390"/>
      <c r="I130" s="425"/>
      <c r="J130" s="408"/>
      <c r="K130" s="425"/>
      <c r="L130" s="425"/>
      <c r="M130" s="425"/>
      <c r="N130" s="468"/>
      <c r="O130" s="425"/>
      <c r="P130" s="467"/>
      <c r="Q130" s="468"/>
      <c r="R130" s="468"/>
      <c r="S130" s="468"/>
      <c r="T130" s="601"/>
      <c r="U130" s="602"/>
      <c r="V130" s="602"/>
      <c r="W130" s="602"/>
      <c r="X130" s="609"/>
      <c r="Y130" s="602"/>
      <c r="Z130" s="603"/>
      <c r="AA130" s="76"/>
      <c r="AB130" s="76"/>
      <c r="AC130" s="76"/>
    </row>
    <row r="131" spans="1:29" ht="15.75">
      <c r="A131" s="111"/>
      <c r="B131" s="424"/>
      <c r="C131" s="590" t="s">
        <v>113</v>
      </c>
      <c r="D131" s="390"/>
      <c r="I131" s="425">
        <f>ELITE!H34</f>
        <v>0</v>
      </c>
      <c r="J131" s="408"/>
      <c r="K131" s="425">
        <v>1</v>
      </c>
      <c r="L131" s="425">
        <f t="shared" si="12"/>
        <v>0</v>
      </c>
      <c r="M131" s="425">
        <f>M122</f>
        <v>0.8333333333333333</v>
      </c>
      <c r="N131" s="468">
        <f t="shared" si="13"/>
        <v>0</v>
      </c>
      <c r="O131" s="425">
        <f>O122</f>
        <v>1.0714285714285714</v>
      </c>
      <c r="P131" s="467">
        <f t="shared" si="14"/>
        <v>0</v>
      </c>
      <c r="Q131" s="425">
        <f>Q122</f>
        <v>2.571428571428571</v>
      </c>
      <c r="R131" s="425">
        <v>0.6666666666666666</v>
      </c>
      <c r="S131" s="468">
        <f t="shared" si="15"/>
        <v>0</v>
      </c>
      <c r="T131" s="601"/>
      <c r="U131" s="602"/>
      <c r="V131" s="602"/>
      <c r="W131" s="602"/>
      <c r="X131" s="609">
        <f>S131</f>
        <v>0</v>
      </c>
      <c r="Y131" s="602"/>
      <c r="Z131" s="603"/>
      <c r="AA131" s="76"/>
      <c r="AB131" s="76"/>
      <c r="AC131" s="76"/>
    </row>
    <row r="132" spans="1:29" ht="15.75">
      <c r="A132" s="111"/>
      <c r="B132" s="424"/>
      <c r="C132" s="390" t="s">
        <v>274</v>
      </c>
      <c r="D132" s="390"/>
      <c r="I132" s="425">
        <f>ELITE!H35</f>
        <v>0</v>
      </c>
      <c r="J132" s="408"/>
      <c r="K132" s="425">
        <v>1</v>
      </c>
      <c r="L132" s="425">
        <f t="shared" si="12"/>
        <v>0</v>
      </c>
      <c r="M132" s="425">
        <f>M123</f>
        <v>0.8333333333333333</v>
      </c>
      <c r="N132" s="468">
        <f t="shared" si="13"/>
        <v>0</v>
      </c>
      <c r="O132" s="425">
        <f>O123</f>
        <v>1.0714285714285714</v>
      </c>
      <c r="P132" s="467">
        <f t="shared" si="14"/>
        <v>0</v>
      </c>
      <c r="Q132" s="425">
        <f>Q123</f>
        <v>4.2857142857142865</v>
      </c>
      <c r="R132" s="425">
        <v>0.6666666666666666</v>
      </c>
      <c r="S132" s="468">
        <f t="shared" si="15"/>
        <v>0</v>
      </c>
      <c r="T132" s="601"/>
      <c r="U132" s="604">
        <f>S132</f>
        <v>0</v>
      </c>
      <c r="V132" s="602"/>
      <c r="W132" s="602"/>
      <c r="X132" s="609"/>
      <c r="Y132" s="602"/>
      <c r="Z132" s="603"/>
      <c r="AA132" s="76"/>
      <c r="AB132" s="76"/>
      <c r="AC132" s="76"/>
    </row>
    <row r="133" spans="1:29" ht="15.75">
      <c r="A133" s="111"/>
      <c r="B133" s="424"/>
      <c r="C133" s="390" t="s">
        <v>416</v>
      </c>
      <c r="D133" s="390"/>
      <c r="I133" s="425">
        <f>ELITE!H36</f>
        <v>0</v>
      </c>
      <c r="J133" s="408"/>
      <c r="K133" s="425">
        <v>1.5</v>
      </c>
      <c r="L133" s="425">
        <f t="shared" si="12"/>
        <v>0</v>
      </c>
      <c r="M133" s="425">
        <f>M124</f>
        <v>1.25</v>
      </c>
      <c r="N133" s="468">
        <f t="shared" si="13"/>
        <v>0</v>
      </c>
      <c r="O133" s="425">
        <f>O124</f>
        <v>1.4285714285714284</v>
      </c>
      <c r="P133" s="467">
        <f t="shared" si="14"/>
        <v>0</v>
      </c>
      <c r="Q133" s="425">
        <f>Q124</f>
        <v>2.571428571428571</v>
      </c>
      <c r="R133" s="425">
        <v>0.6666666666666666</v>
      </c>
      <c r="S133" s="468">
        <f t="shared" si="15"/>
        <v>0</v>
      </c>
      <c r="T133" s="601"/>
      <c r="U133" s="602"/>
      <c r="V133" s="602"/>
      <c r="W133" s="602"/>
      <c r="X133" s="609">
        <f>S133</f>
        <v>0</v>
      </c>
      <c r="Y133" s="602"/>
      <c r="Z133" s="603"/>
      <c r="AA133" s="76"/>
      <c r="AB133" s="76"/>
      <c r="AC133" s="76"/>
    </row>
    <row r="134" spans="1:29" ht="15.75">
      <c r="A134" s="111"/>
      <c r="B134" s="424"/>
      <c r="C134" s="390" t="s">
        <v>437</v>
      </c>
      <c r="D134" s="390"/>
      <c r="I134" s="425">
        <f>ELITE!H37</f>
        <v>0</v>
      </c>
      <c r="J134" s="408"/>
      <c r="K134" s="425">
        <v>2</v>
      </c>
      <c r="L134" s="425">
        <f t="shared" si="12"/>
        <v>0</v>
      </c>
      <c r="M134" s="468">
        <f>C20</f>
        <v>0.8333333333333333</v>
      </c>
      <c r="N134" s="468">
        <f t="shared" si="13"/>
        <v>0</v>
      </c>
      <c r="O134" s="468">
        <f>G23</f>
        <v>1.0714285714285714</v>
      </c>
      <c r="P134" s="467">
        <f t="shared" si="14"/>
        <v>0</v>
      </c>
      <c r="Q134" s="468">
        <f>L23</f>
        <v>2.571428571428571</v>
      </c>
      <c r="R134" s="468">
        <v>0.6666666666666666</v>
      </c>
      <c r="S134" s="468">
        <f t="shared" si="15"/>
        <v>0</v>
      </c>
      <c r="T134" s="601"/>
      <c r="U134" s="602"/>
      <c r="V134" s="602"/>
      <c r="W134" s="602"/>
      <c r="X134" s="609"/>
      <c r="Y134" s="602"/>
      <c r="Z134" s="612">
        <f>S134</f>
        <v>0</v>
      </c>
      <c r="AA134" s="76"/>
      <c r="AB134" s="76"/>
      <c r="AC134" s="76"/>
    </row>
    <row r="135" spans="1:29" ht="15.75">
      <c r="A135" s="111"/>
      <c r="B135" s="424"/>
      <c r="C135" s="390" t="s">
        <v>438</v>
      </c>
      <c r="D135" s="390"/>
      <c r="I135" s="425">
        <f>ELITE!H38</f>
        <v>0</v>
      </c>
      <c r="J135" s="408"/>
      <c r="K135" s="425">
        <v>1</v>
      </c>
      <c r="L135" s="425">
        <f t="shared" si="12"/>
        <v>0</v>
      </c>
      <c r="M135" s="468">
        <f>C16</f>
        <v>2.5</v>
      </c>
      <c r="N135" s="468">
        <f t="shared" si="13"/>
        <v>0</v>
      </c>
      <c r="O135" s="425">
        <f>G27</f>
        <v>0</v>
      </c>
      <c r="P135" s="467">
        <f t="shared" si="14"/>
        <v>0</v>
      </c>
      <c r="Q135" s="468">
        <f>L24</f>
        <v>2.5714285714285716</v>
      </c>
      <c r="R135" s="468">
        <v>0.6666666666666666</v>
      </c>
      <c r="S135" s="468">
        <f t="shared" si="15"/>
        <v>0</v>
      </c>
      <c r="T135" s="601"/>
      <c r="U135" s="602">
        <f>S135*1/6</f>
        <v>0</v>
      </c>
      <c r="V135" s="602"/>
      <c r="W135" s="602"/>
      <c r="X135" s="609"/>
      <c r="Y135" s="602">
        <f>S135*5/6</f>
        <v>0</v>
      </c>
      <c r="Z135" s="603"/>
      <c r="AA135" s="76"/>
      <c r="AB135" s="76"/>
      <c r="AC135" s="76"/>
    </row>
    <row r="136" spans="1:29" ht="15.75">
      <c r="A136" s="111"/>
      <c r="B136" s="424"/>
      <c r="C136" s="390" t="s">
        <v>309</v>
      </c>
      <c r="D136" s="390"/>
      <c r="I136" s="425">
        <f>ELITE!H39</f>
        <v>0</v>
      </c>
      <c r="J136" s="408"/>
      <c r="K136" s="425">
        <v>3</v>
      </c>
      <c r="L136" s="425">
        <f t="shared" si="12"/>
        <v>0</v>
      </c>
      <c r="M136" s="425">
        <f>M99</f>
        <v>2.5</v>
      </c>
      <c r="N136" s="468">
        <f t="shared" si="13"/>
        <v>0</v>
      </c>
      <c r="O136" s="425">
        <f>O99</f>
        <v>0</v>
      </c>
      <c r="P136" s="467">
        <f t="shared" si="14"/>
        <v>0</v>
      </c>
      <c r="Q136" s="425">
        <f>Q99</f>
        <v>3.142857142857143</v>
      </c>
      <c r="R136" s="425">
        <v>0.6666666666666666</v>
      </c>
      <c r="S136" s="468">
        <f t="shared" si="15"/>
        <v>0</v>
      </c>
      <c r="T136" s="601"/>
      <c r="U136" s="602"/>
      <c r="V136" s="602"/>
      <c r="W136" s="604">
        <f>S136</f>
        <v>0</v>
      </c>
      <c r="X136" s="609"/>
      <c r="Y136" s="602"/>
      <c r="Z136" s="603"/>
      <c r="AA136" s="76"/>
      <c r="AB136" s="76"/>
      <c r="AC136" s="76"/>
    </row>
    <row r="137" spans="1:29" ht="15.75">
      <c r="A137" s="111"/>
      <c r="B137" s="424"/>
      <c r="C137" s="390" t="s">
        <v>299</v>
      </c>
      <c r="D137" s="390"/>
      <c r="I137" s="425">
        <f>ELITE!H40</f>
        <v>0</v>
      </c>
      <c r="J137" s="408"/>
      <c r="K137" s="425">
        <v>3</v>
      </c>
      <c r="L137" s="425">
        <f t="shared" si="12"/>
        <v>0</v>
      </c>
      <c r="M137" s="425">
        <f>M102</f>
        <v>3.333333333333333</v>
      </c>
      <c r="N137" s="468">
        <f t="shared" si="13"/>
        <v>0</v>
      </c>
      <c r="O137" s="425">
        <f>O102</f>
        <v>0</v>
      </c>
      <c r="P137" s="467">
        <f t="shared" si="14"/>
        <v>0</v>
      </c>
      <c r="Q137" s="425">
        <f>Q102</f>
        <v>2.571428571428571</v>
      </c>
      <c r="R137" s="425">
        <v>0.5185185185185185</v>
      </c>
      <c r="S137" s="468">
        <f t="shared" si="15"/>
        <v>0</v>
      </c>
      <c r="T137" s="601"/>
      <c r="U137" s="602"/>
      <c r="V137" s="602"/>
      <c r="W137" s="602"/>
      <c r="X137" s="609"/>
      <c r="Y137" s="604">
        <f>S137</f>
        <v>0</v>
      </c>
      <c r="Z137" s="603"/>
      <c r="AA137" s="76"/>
      <c r="AB137" s="76"/>
      <c r="AC137" s="76"/>
    </row>
    <row r="138" spans="1:29" ht="15.75">
      <c r="A138" s="393">
        <v>4</v>
      </c>
      <c r="B138" s="424" t="s">
        <v>308</v>
      </c>
      <c r="C138" s="390"/>
      <c r="D138" s="390"/>
      <c r="I138" s="425"/>
      <c r="J138" s="408"/>
      <c r="K138" s="425"/>
      <c r="L138" s="425"/>
      <c r="M138" s="425"/>
      <c r="N138" s="468"/>
      <c r="O138" s="425"/>
      <c r="P138" s="467"/>
      <c r="Q138" s="425"/>
      <c r="R138" s="425"/>
      <c r="S138" s="468"/>
      <c r="T138" s="601"/>
      <c r="U138" s="602"/>
      <c r="V138" s="602"/>
      <c r="W138" s="602"/>
      <c r="X138" s="609"/>
      <c r="Y138" s="604"/>
      <c r="Z138" s="603"/>
      <c r="AA138" s="76"/>
      <c r="AB138" s="76"/>
      <c r="AC138" s="76"/>
    </row>
    <row r="139" spans="1:29" ht="15.75">
      <c r="A139" s="111"/>
      <c r="B139" s="424"/>
      <c r="C139" s="390" t="s">
        <v>113</v>
      </c>
      <c r="D139" s="390"/>
      <c r="I139" s="425">
        <f>ELITE!H46</f>
        <v>0</v>
      </c>
      <c r="J139" s="408"/>
      <c r="K139" s="425">
        <v>1</v>
      </c>
      <c r="L139" s="425">
        <f t="shared" si="12"/>
        <v>0</v>
      </c>
      <c r="M139" s="425">
        <f>M93</f>
        <v>0.8333333333333333</v>
      </c>
      <c r="N139" s="468">
        <f t="shared" si="13"/>
        <v>0</v>
      </c>
      <c r="O139" s="425">
        <f>O93</f>
        <v>1.0714285714285714</v>
      </c>
      <c r="P139" s="467">
        <f t="shared" si="14"/>
        <v>0</v>
      </c>
      <c r="Q139" s="425">
        <f>Q93</f>
        <v>2.571428571428571</v>
      </c>
      <c r="R139" s="425">
        <v>0.6666666666666666</v>
      </c>
      <c r="S139" s="468">
        <f t="shared" si="15"/>
        <v>0</v>
      </c>
      <c r="T139" s="601"/>
      <c r="U139" s="602"/>
      <c r="V139" s="602"/>
      <c r="W139" s="602"/>
      <c r="X139" s="609">
        <f>S139</f>
        <v>0</v>
      </c>
      <c r="Y139" s="604"/>
      <c r="Z139" s="603"/>
      <c r="AA139" s="76"/>
      <c r="AB139" s="76"/>
      <c r="AC139" s="76"/>
    </row>
    <row r="140" spans="1:29" ht="15.75">
      <c r="A140" s="111"/>
      <c r="B140" s="424"/>
      <c r="C140" s="390" t="s">
        <v>274</v>
      </c>
      <c r="D140" s="390"/>
      <c r="I140" s="425">
        <f>ELITE!H48+ELITE!H50+ELITE!H74+ELITE!H77+ELITE!H80</f>
        <v>0</v>
      </c>
      <c r="J140" s="408"/>
      <c r="K140" s="425">
        <v>1</v>
      </c>
      <c r="L140" s="425">
        <f t="shared" si="12"/>
        <v>0</v>
      </c>
      <c r="M140" s="425">
        <f aca="true" t="shared" si="16" ref="M140:M149">M94</f>
        <v>0.8333333333333333</v>
      </c>
      <c r="N140" s="468">
        <f t="shared" si="13"/>
        <v>0</v>
      </c>
      <c r="O140" s="425">
        <f aca="true" t="shared" si="17" ref="O140:O149">O94</f>
        <v>1.0714285714285714</v>
      </c>
      <c r="P140" s="467">
        <f t="shared" si="14"/>
        <v>0</v>
      </c>
      <c r="Q140" s="425">
        <f aca="true" t="shared" si="18" ref="Q140:Q149">Q94</f>
        <v>4.2857142857142865</v>
      </c>
      <c r="R140" s="425">
        <v>0.6666666666666666</v>
      </c>
      <c r="S140" s="468">
        <f t="shared" si="15"/>
        <v>0</v>
      </c>
      <c r="T140" s="601"/>
      <c r="U140" s="604">
        <f>S140</f>
        <v>0</v>
      </c>
      <c r="V140" s="602"/>
      <c r="W140" s="602"/>
      <c r="X140" s="609"/>
      <c r="Y140" s="604"/>
      <c r="Z140" s="603"/>
      <c r="AA140" s="76"/>
      <c r="AB140" s="76"/>
      <c r="AC140" s="76"/>
    </row>
    <row r="141" spans="1:29" ht="15.75">
      <c r="A141" s="111"/>
      <c r="B141" s="424"/>
      <c r="C141" s="390" t="s">
        <v>416</v>
      </c>
      <c r="D141" s="390"/>
      <c r="I141" s="425">
        <f>ELITE!H47+ELITE!H49+ELITE!H52+ELITE!H83</f>
        <v>0</v>
      </c>
      <c r="J141" s="408"/>
      <c r="K141" s="425">
        <v>1.5</v>
      </c>
      <c r="L141" s="425">
        <f t="shared" si="12"/>
        <v>0</v>
      </c>
      <c r="M141" s="425">
        <f t="shared" si="16"/>
        <v>1.25</v>
      </c>
      <c r="N141" s="468">
        <f t="shared" si="13"/>
        <v>0</v>
      </c>
      <c r="O141" s="425">
        <f t="shared" si="17"/>
        <v>1.4285714285714284</v>
      </c>
      <c r="P141" s="467">
        <f t="shared" si="14"/>
        <v>0</v>
      </c>
      <c r="Q141" s="425">
        <f t="shared" si="18"/>
        <v>2.571428571428571</v>
      </c>
      <c r="R141" s="425">
        <v>0.6666666666666666</v>
      </c>
      <c r="S141" s="468">
        <f t="shared" si="15"/>
        <v>0</v>
      </c>
      <c r="T141" s="601"/>
      <c r="U141" s="602"/>
      <c r="V141" s="602"/>
      <c r="W141" s="602"/>
      <c r="X141" s="609">
        <f>S141</f>
        <v>0</v>
      </c>
      <c r="Y141" s="604"/>
      <c r="Z141" s="603"/>
      <c r="AA141" s="76"/>
      <c r="AB141" s="76"/>
      <c r="AC141" s="76"/>
    </row>
    <row r="142" spans="1:29" ht="15.75">
      <c r="A142" s="111"/>
      <c r="B142" s="424"/>
      <c r="C142" s="390" t="s">
        <v>426</v>
      </c>
      <c r="D142" s="390"/>
      <c r="I142" s="425">
        <f>ELITE!H51+ELITE!H57+ELITE!H66+ELITE!H75+ELITE!H84</f>
        <v>0</v>
      </c>
      <c r="J142" s="408"/>
      <c r="K142" s="425">
        <v>1.5</v>
      </c>
      <c r="L142" s="425">
        <f t="shared" si="12"/>
        <v>0</v>
      </c>
      <c r="M142" s="425">
        <f t="shared" si="16"/>
        <v>1.25</v>
      </c>
      <c r="N142" s="468">
        <f t="shared" si="13"/>
        <v>0</v>
      </c>
      <c r="O142" s="425">
        <f t="shared" si="17"/>
        <v>1.4285714285714284</v>
      </c>
      <c r="P142" s="467">
        <f t="shared" si="14"/>
        <v>0</v>
      </c>
      <c r="Q142" s="425">
        <f t="shared" si="18"/>
        <v>4.2857142857142865</v>
      </c>
      <c r="R142" s="425">
        <v>0.6666666666666666</v>
      </c>
      <c r="S142" s="468">
        <f t="shared" si="15"/>
        <v>0</v>
      </c>
      <c r="T142" s="601"/>
      <c r="U142" s="604">
        <f>S142</f>
        <v>0</v>
      </c>
      <c r="V142" s="602"/>
      <c r="W142" s="602"/>
      <c r="X142" s="609"/>
      <c r="Y142" s="604"/>
      <c r="Z142" s="603"/>
      <c r="AA142" s="76"/>
      <c r="AB142" s="76"/>
      <c r="AC142" s="76"/>
    </row>
    <row r="143" spans="1:29" ht="15.75">
      <c r="A143" s="111"/>
      <c r="B143" s="424"/>
      <c r="C143" s="390" t="s">
        <v>427</v>
      </c>
      <c r="D143" s="390"/>
      <c r="I143" s="425">
        <f>ELITE!H56+ELITE!H65</f>
        <v>0</v>
      </c>
      <c r="J143" s="408"/>
      <c r="K143" s="425">
        <v>1</v>
      </c>
      <c r="L143" s="425">
        <f t="shared" si="12"/>
        <v>0</v>
      </c>
      <c r="M143" s="425">
        <f t="shared" si="16"/>
        <v>0.8333333333333333</v>
      </c>
      <c r="N143" s="468">
        <f t="shared" si="13"/>
        <v>0</v>
      </c>
      <c r="O143" s="425">
        <f t="shared" si="17"/>
        <v>1.0714285714285714</v>
      </c>
      <c r="P143" s="467">
        <f t="shared" si="14"/>
        <v>0</v>
      </c>
      <c r="Q143" s="425">
        <f t="shared" si="18"/>
        <v>4.2857142857142865</v>
      </c>
      <c r="R143" s="425">
        <v>0.6666666666666666</v>
      </c>
      <c r="S143" s="468">
        <f t="shared" si="15"/>
        <v>0</v>
      </c>
      <c r="T143" s="610">
        <f>S143</f>
        <v>0</v>
      </c>
      <c r="U143" s="602"/>
      <c r="V143" s="602"/>
      <c r="W143" s="602"/>
      <c r="X143" s="609"/>
      <c r="Y143" s="604"/>
      <c r="Z143" s="603"/>
      <c r="AA143" s="76"/>
      <c r="AB143" s="76"/>
      <c r="AC143" s="76"/>
    </row>
    <row r="144" spans="1:29" ht="15.75">
      <c r="A144" s="111"/>
      <c r="B144" s="424"/>
      <c r="C144" s="390" t="s">
        <v>280</v>
      </c>
      <c r="D144" s="390"/>
      <c r="I144" s="425">
        <f>ELITE!H53+ELITE!H55+ELITE!H64+ELITE!H73+ELITE!H82</f>
        <v>0</v>
      </c>
      <c r="J144" s="408"/>
      <c r="K144" s="425">
        <v>4</v>
      </c>
      <c r="L144" s="425">
        <f t="shared" si="12"/>
        <v>0</v>
      </c>
      <c r="M144" s="425" t="str">
        <f t="shared" si="16"/>
        <v>0.5</v>
      </c>
      <c r="N144" s="468">
        <f t="shared" si="13"/>
        <v>0</v>
      </c>
      <c r="O144" s="425">
        <f t="shared" si="17"/>
        <v>0.5</v>
      </c>
      <c r="P144" s="467">
        <f t="shared" si="14"/>
        <v>0</v>
      </c>
      <c r="Q144" s="425">
        <f t="shared" si="18"/>
        <v>2.571428571428571</v>
      </c>
      <c r="R144" s="425">
        <v>1</v>
      </c>
      <c r="S144" s="468">
        <f t="shared" si="15"/>
        <v>0</v>
      </c>
      <c r="T144" s="601"/>
      <c r="U144" s="602"/>
      <c r="V144" s="602"/>
      <c r="W144" s="602"/>
      <c r="X144" s="609">
        <f>S144</f>
        <v>0</v>
      </c>
      <c r="Y144" s="604"/>
      <c r="Z144" s="603"/>
      <c r="AA144" s="76"/>
      <c r="AB144" s="76"/>
      <c r="AC144" s="76"/>
    </row>
    <row r="145" spans="1:29" ht="15.75">
      <c r="A145" s="111"/>
      <c r="B145" s="424"/>
      <c r="C145" s="390" t="s">
        <v>309</v>
      </c>
      <c r="D145" s="390"/>
      <c r="I145" s="425">
        <f>ELITE!H58+ELITE!H67+ELITE!H76+ELITE!H85</f>
        <v>0</v>
      </c>
      <c r="J145" s="408"/>
      <c r="K145" s="425">
        <v>3</v>
      </c>
      <c r="L145" s="425">
        <f t="shared" si="12"/>
        <v>0</v>
      </c>
      <c r="M145" s="425">
        <f t="shared" si="16"/>
        <v>2.5</v>
      </c>
      <c r="N145" s="468">
        <f t="shared" si="13"/>
        <v>0</v>
      </c>
      <c r="O145" s="425">
        <f t="shared" si="17"/>
        <v>0</v>
      </c>
      <c r="P145" s="467">
        <f t="shared" si="14"/>
        <v>0</v>
      </c>
      <c r="Q145" s="425">
        <f t="shared" si="18"/>
        <v>3.142857142857143</v>
      </c>
      <c r="R145" s="425">
        <v>0.6666666666666666</v>
      </c>
      <c r="S145" s="468">
        <f t="shared" si="15"/>
        <v>0</v>
      </c>
      <c r="T145" s="601"/>
      <c r="U145" s="602"/>
      <c r="V145" s="602"/>
      <c r="W145" s="604">
        <f>S145</f>
        <v>0</v>
      </c>
      <c r="X145" s="609"/>
      <c r="Y145" s="604"/>
      <c r="Z145" s="603"/>
      <c r="AA145" s="76"/>
      <c r="AB145" s="76"/>
      <c r="AC145" s="76"/>
    </row>
    <row r="146" spans="1:29" ht="15.75">
      <c r="A146" s="111"/>
      <c r="B146" s="424"/>
      <c r="C146" s="390" t="s">
        <v>429</v>
      </c>
      <c r="D146" s="390"/>
      <c r="I146" s="425">
        <f>ELITE!H59+ELITE!H68+ELITE!H86</f>
        <v>0</v>
      </c>
      <c r="J146" s="408"/>
      <c r="K146" s="425">
        <v>1</v>
      </c>
      <c r="L146" s="425">
        <f t="shared" si="12"/>
        <v>0</v>
      </c>
      <c r="M146" s="425">
        <f t="shared" si="16"/>
        <v>1.6666666666666665</v>
      </c>
      <c r="N146" s="468">
        <f t="shared" si="13"/>
        <v>0</v>
      </c>
      <c r="O146" s="425">
        <f t="shared" si="17"/>
        <v>0</v>
      </c>
      <c r="P146" s="467">
        <f t="shared" si="14"/>
        <v>0</v>
      </c>
      <c r="Q146" s="425">
        <f t="shared" si="18"/>
        <v>4.2857142857142865</v>
      </c>
      <c r="R146" s="425">
        <v>0.6666666666666666</v>
      </c>
      <c r="S146" s="468">
        <f t="shared" si="15"/>
        <v>0</v>
      </c>
      <c r="T146" s="610">
        <f>S146</f>
        <v>0</v>
      </c>
      <c r="U146" s="602"/>
      <c r="V146" s="602"/>
      <c r="W146" s="602"/>
      <c r="X146" s="609"/>
      <c r="Y146" s="604"/>
      <c r="Z146" s="603"/>
      <c r="AA146" s="76"/>
      <c r="AB146" s="76"/>
      <c r="AC146" s="76"/>
    </row>
    <row r="147" spans="1:29" ht="15.75">
      <c r="A147" s="111"/>
      <c r="B147" s="424"/>
      <c r="C147" s="390" t="s">
        <v>428</v>
      </c>
      <c r="D147" s="390"/>
      <c r="I147" s="425">
        <f>ELITE!H60+ELITE!H69+ELITE!H78+ELITE!H87</f>
        <v>0</v>
      </c>
      <c r="J147" s="408"/>
      <c r="K147" s="425">
        <v>3</v>
      </c>
      <c r="L147" s="425">
        <f t="shared" si="12"/>
        <v>0</v>
      </c>
      <c r="M147" s="425">
        <f t="shared" si="16"/>
        <v>2.5</v>
      </c>
      <c r="N147" s="468">
        <f t="shared" si="13"/>
        <v>0</v>
      </c>
      <c r="O147" s="425">
        <f t="shared" si="17"/>
        <v>0</v>
      </c>
      <c r="P147" s="467">
        <f t="shared" si="14"/>
        <v>0</v>
      </c>
      <c r="Q147" s="425">
        <f t="shared" si="18"/>
        <v>4.2857142857142865</v>
      </c>
      <c r="R147" s="425">
        <v>0.43209876543209874</v>
      </c>
      <c r="S147" s="468">
        <f t="shared" si="15"/>
        <v>0</v>
      </c>
      <c r="T147" s="601"/>
      <c r="U147" s="604">
        <f>S147</f>
        <v>0</v>
      </c>
      <c r="V147" s="602"/>
      <c r="W147" s="602"/>
      <c r="X147" s="609"/>
      <c r="Y147" s="604"/>
      <c r="Z147" s="603"/>
      <c r="AA147" s="76"/>
      <c r="AB147" s="76"/>
      <c r="AC147" s="76"/>
    </row>
    <row r="148" spans="1:29" ht="15.75">
      <c r="A148" s="111"/>
      <c r="B148" s="424"/>
      <c r="C148" s="390" t="s">
        <v>299</v>
      </c>
      <c r="D148" s="390"/>
      <c r="I148" s="425">
        <f>ELITE!H61+ELITE!H70+ELITE!H79+ELITE!H88</f>
        <v>0</v>
      </c>
      <c r="J148" s="408"/>
      <c r="K148" s="425">
        <v>3</v>
      </c>
      <c r="L148" s="425">
        <f t="shared" si="12"/>
        <v>0</v>
      </c>
      <c r="M148" s="425">
        <f t="shared" si="16"/>
        <v>3.333333333333333</v>
      </c>
      <c r="N148" s="468">
        <f t="shared" si="13"/>
        <v>0</v>
      </c>
      <c r="O148" s="425">
        <f t="shared" si="17"/>
        <v>0</v>
      </c>
      <c r="P148" s="467">
        <f t="shared" si="14"/>
        <v>0</v>
      </c>
      <c r="Q148" s="425">
        <f t="shared" si="18"/>
        <v>2.571428571428571</v>
      </c>
      <c r="R148" s="425">
        <v>0.5185185185185185</v>
      </c>
      <c r="S148" s="468">
        <f t="shared" si="15"/>
        <v>0</v>
      </c>
      <c r="T148" s="601"/>
      <c r="U148" s="602"/>
      <c r="V148" s="602"/>
      <c r="W148" s="602"/>
      <c r="X148" s="609"/>
      <c r="Y148" s="604">
        <f>S148</f>
        <v>0</v>
      </c>
      <c r="Z148" s="603"/>
      <c r="AA148" s="76"/>
      <c r="AB148" s="76"/>
      <c r="AC148" s="76"/>
    </row>
    <row r="149" spans="1:29" ht="15.75">
      <c r="A149" s="111"/>
      <c r="B149" s="424"/>
      <c r="C149" s="390" t="s">
        <v>112</v>
      </c>
      <c r="D149" s="390"/>
      <c r="I149" s="425">
        <f>ELITE!H62+ELITE!H71+ELITE!H89</f>
        <v>0</v>
      </c>
      <c r="J149" s="408"/>
      <c r="K149" s="425">
        <v>1</v>
      </c>
      <c r="L149" s="425">
        <f t="shared" si="12"/>
        <v>0</v>
      </c>
      <c r="M149" s="425">
        <f t="shared" si="16"/>
        <v>3.333333333333333</v>
      </c>
      <c r="N149" s="468">
        <f t="shared" si="13"/>
        <v>0</v>
      </c>
      <c r="O149" s="425">
        <f t="shared" si="17"/>
        <v>0</v>
      </c>
      <c r="P149" s="467">
        <f t="shared" si="14"/>
        <v>0</v>
      </c>
      <c r="Q149" s="425">
        <f t="shared" si="18"/>
        <v>4.2857142857142865</v>
      </c>
      <c r="R149" s="425">
        <v>0.6666666666666666</v>
      </c>
      <c r="S149" s="468">
        <f t="shared" si="15"/>
        <v>0</v>
      </c>
      <c r="T149" s="601"/>
      <c r="U149" s="604">
        <f>S149</f>
        <v>0</v>
      </c>
      <c r="V149" s="602"/>
      <c r="W149" s="602"/>
      <c r="X149" s="609"/>
      <c r="Y149" s="604"/>
      <c r="Z149" s="603"/>
      <c r="AA149" s="76"/>
      <c r="AB149" s="76"/>
      <c r="AC149" s="76"/>
    </row>
    <row r="150" spans="1:29" ht="16.5" thickBot="1">
      <c r="A150" s="111"/>
      <c r="B150" s="424"/>
      <c r="C150" s="390" t="s">
        <v>122</v>
      </c>
      <c r="D150" s="390"/>
      <c r="I150" s="425">
        <f>ELITE!H54+ELITE!H63+ELITE!H72+ELITE!H81</f>
        <v>0</v>
      </c>
      <c r="J150" s="408"/>
      <c r="K150" s="425">
        <v>2</v>
      </c>
      <c r="L150" s="425">
        <f t="shared" si="12"/>
        <v>0</v>
      </c>
      <c r="M150" s="425">
        <f>M120</f>
        <v>1.6666666666666665</v>
      </c>
      <c r="N150" s="468">
        <f t="shared" si="13"/>
        <v>0</v>
      </c>
      <c r="O150" s="425">
        <f>O120</f>
        <v>1.7857142857142858</v>
      </c>
      <c r="P150" s="467">
        <f t="shared" si="14"/>
        <v>0</v>
      </c>
      <c r="Q150" s="425">
        <f>Q120</f>
        <v>2.571428571428571</v>
      </c>
      <c r="R150" s="425">
        <v>0.6666666666666666</v>
      </c>
      <c r="S150" s="468">
        <f t="shared" si="15"/>
        <v>0</v>
      </c>
      <c r="T150" s="601"/>
      <c r="U150" s="602"/>
      <c r="V150" s="602"/>
      <c r="W150" s="602"/>
      <c r="X150" s="609">
        <f>S150</f>
        <v>0</v>
      </c>
      <c r="Y150" s="604"/>
      <c r="Z150" s="603"/>
      <c r="AA150" s="76"/>
      <c r="AB150" s="76"/>
      <c r="AC150" s="76"/>
    </row>
    <row r="151" spans="1:29" ht="13.5" thickBot="1">
      <c r="A151" s="395"/>
      <c r="B151" s="388" t="s">
        <v>15</v>
      </c>
      <c r="C151" s="388"/>
      <c r="D151" s="398"/>
      <c r="E151" s="398"/>
      <c r="F151" s="398"/>
      <c r="G151" s="398"/>
      <c r="H151" s="428"/>
      <c r="I151" s="381">
        <f>SUM(I152:I170)</f>
        <v>0</v>
      </c>
      <c r="J151" s="381">
        <f>SUM(J152:J170)</f>
        <v>0</v>
      </c>
      <c r="K151" s="381"/>
      <c r="L151" s="381">
        <f>SUM(L152:L170)</f>
        <v>0</v>
      </c>
      <c r="M151" s="436">
        <f aca="true" t="shared" si="19" ref="M151:S151">SUM(M152:M170)</f>
        <v>20.83333333333333</v>
      </c>
      <c r="N151" s="436">
        <f t="shared" si="19"/>
        <v>0</v>
      </c>
      <c r="O151" s="436">
        <f t="shared" si="19"/>
        <v>24.928571428571427</v>
      </c>
      <c r="P151" s="436">
        <f t="shared" si="19"/>
        <v>0</v>
      </c>
      <c r="Q151" s="606"/>
      <c r="R151" s="606"/>
      <c r="S151" s="503">
        <f t="shared" si="19"/>
        <v>0</v>
      </c>
      <c r="T151" s="601"/>
      <c r="U151" s="602"/>
      <c r="V151" s="602"/>
      <c r="W151" s="602"/>
      <c r="X151" s="609"/>
      <c r="Y151" s="602"/>
      <c r="Z151" s="603"/>
      <c r="AA151" s="76"/>
      <c r="AB151" s="76"/>
      <c r="AC151" s="76"/>
    </row>
    <row r="152" spans="1:29" ht="15.75">
      <c r="A152" s="393">
        <v>1</v>
      </c>
      <c r="B152" s="424" t="s">
        <v>443</v>
      </c>
      <c r="C152" s="390"/>
      <c r="D152" s="432"/>
      <c r="I152" s="425"/>
      <c r="J152" s="408"/>
      <c r="K152" s="425"/>
      <c r="L152" s="425">
        <f>K152*(I152+J152)</f>
        <v>0</v>
      </c>
      <c r="M152" s="467"/>
      <c r="N152" s="467"/>
      <c r="O152" s="467"/>
      <c r="P152" s="467"/>
      <c r="Q152" s="467"/>
      <c r="R152" s="467"/>
      <c r="S152" s="468"/>
      <c r="T152" s="601"/>
      <c r="U152" s="602"/>
      <c r="V152" s="602"/>
      <c r="W152" s="602"/>
      <c r="X152" s="609"/>
      <c r="Y152" s="602"/>
      <c r="Z152" s="603"/>
      <c r="AA152" s="76"/>
      <c r="AB152" s="76"/>
      <c r="AC152" s="76"/>
    </row>
    <row r="153" spans="1:29" ht="12.75">
      <c r="A153" s="393"/>
      <c r="B153" s="432"/>
      <c r="C153" s="390" t="s">
        <v>113</v>
      </c>
      <c r="D153" s="432"/>
      <c r="I153" s="425">
        <f>'A.RAPIDO'!H5</f>
        <v>0</v>
      </c>
      <c r="J153" s="408"/>
      <c r="K153" s="425">
        <v>1</v>
      </c>
      <c r="L153" s="425">
        <f>K153*(I153+J153)</f>
        <v>0</v>
      </c>
      <c r="M153" s="467">
        <f>C20</f>
        <v>0.8333333333333333</v>
      </c>
      <c r="N153" s="467">
        <f>L153*M153</f>
        <v>0</v>
      </c>
      <c r="O153" s="467">
        <f>G22</f>
        <v>1.4285714285714284</v>
      </c>
      <c r="P153" s="467">
        <f>O153*L153</f>
        <v>0</v>
      </c>
      <c r="Q153" s="467">
        <f>L23</f>
        <v>2.571428571428571</v>
      </c>
      <c r="R153" s="467">
        <v>0.6666666666666666</v>
      </c>
      <c r="S153" s="468">
        <f>L153*Q153*R153</f>
        <v>0</v>
      </c>
      <c r="T153" s="601"/>
      <c r="U153" s="602"/>
      <c r="V153" s="602"/>
      <c r="W153" s="602"/>
      <c r="X153" s="609">
        <f>S153</f>
        <v>0</v>
      </c>
      <c r="Y153" s="602"/>
      <c r="Z153" s="603"/>
      <c r="AA153" s="76"/>
      <c r="AB153" s="76"/>
      <c r="AC153" s="76"/>
    </row>
    <row r="154" spans="1:29" ht="12.75">
      <c r="A154" s="393"/>
      <c r="B154" s="432"/>
      <c r="C154" s="390" t="s">
        <v>442</v>
      </c>
      <c r="D154" s="432"/>
      <c r="I154" s="425">
        <f>'A.RAPIDO'!H6</f>
        <v>0</v>
      </c>
      <c r="J154" s="408"/>
      <c r="K154" s="425">
        <v>1</v>
      </c>
      <c r="L154" s="425">
        <f aca="true" t="shared" si="20" ref="L154:L169">K154*(I154+J154)</f>
        <v>0</v>
      </c>
      <c r="M154" s="425">
        <f>M140</f>
        <v>0.8333333333333333</v>
      </c>
      <c r="N154" s="467">
        <f aca="true" t="shared" si="21" ref="N154:N169">L154*M154</f>
        <v>0</v>
      </c>
      <c r="O154" s="425">
        <f>O140</f>
        <v>1.0714285714285714</v>
      </c>
      <c r="P154" s="467">
        <f aca="true" t="shared" si="22" ref="P154:P169">O154*L154</f>
        <v>0</v>
      </c>
      <c r="Q154" s="425">
        <f>Q140</f>
        <v>4.2857142857142865</v>
      </c>
      <c r="R154" s="425">
        <v>0.6666666666666666</v>
      </c>
      <c r="S154" s="468">
        <f aca="true" t="shared" si="23" ref="S154:S169">L154*Q154*R154</f>
        <v>0</v>
      </c>
      <c r="T154" s="601"/>
      <c r="U154" s="604">
        <f>S154</f>
        <v>0</v>
      </c>
      <c r="V154" s="602"/>
      <c r="W154" s="602"/>
      <c r="X154" s="609"/>
      <c r="Y154" s="602"/>
      <c r="Z154" s="603"/>
      <c r="AA154" s="76"/>
      <c r="AB154" s="76"/>
      <c r="AC154" s="76"/>
    </row>
    <row r="155" spans="1:29" ht="15.75">
      <c r="A155" s="393">
        <v>2</v>
      </c>
      <c r="B155" s="424" t="s">
        <v>444</v>
      </c>
      <c r="C155" s="390"/>
      <c r="D155" s="390"/>
      <c r="I155" s="425"/>
      <c r="J155" s="408"/>
      <c r="K155" s="425"/>
      <c r="L155" s="425">
        <f t="shared" si="20"/>
        <v>0</v>
      </c>
      <c r="M155" s="467"/>
      <c r="N155" s="467">
        <f t="shared" si="21"/>
        <v>0</v>
      </c>
      <c r="O155" s="467"/>
      <c r="P155" s="467">
        <f t="shared" si="22"/>
        <v>0</v>
      </c>
      <c r="Q155" s="467"/>
      <c r="R155" s="467"/>
      <c r="S155" s="468">
        <f t="shared" si="23"/>
        <v>0</v>
      </c>
      <c r="T155" s="601"/>
      <c r="U155" s="602"/>
      <c r="V155" s="602"/>
      <c r="W155" s="602"/>
      <c r="X155" s="609"/>
      <c r="Y155" s="602"/>
      <c r="Z155" s="603"/>
      <c r="AA155" s="76"/>
      <c r="AB155" s="76"/>
      <c r="AC155" s="76"/>
    </row>
    <row r="156" spans="1:29" ht="15.75">
      <c r="A156" s="393"/>
      <c r="B156" s="424"/>
      <c r="C156" s="390" t="s">
        <v>417</v>
      </c>
      <c r="D156" s="390"/>
      <c r="I156" s="425">
        <f>'A.RAPIDO'!H16+'A.RAPIDO'!H17+'A.RAPIDO'!H20+'A.RAPIDO'!H22+'A.RAPIDO'!H23</f>
        <v>0</v>
      </c>
      <c r="J156" s="408"/>
      <c r="K156" s="425">
        <v>1.5</v>
      </c>
      <c r="L156" s="425">
        <f t="shared" si="20"/>
        <v>0</v>
      </c>
      <c r="M156" s="468">
        <f>M65</f>
        <v>1.25</v>
      </c>
      <c r="N156" s="467">
        <f t="shared" si="21"/>
        <v>0</v>
      </c>
      <c r="O156" s="468">
        <f>O65</f>
        <v>1.7857142857142858</v>
      </c>
      <c r="P156" s="467">
        <f t="shared" si="22"/>
        <v>0</v>
      </c>
      <c r="Q156" s="468">
        <f>Q65</f>
        <v>2.571428571428571</v>
      </c>
      <c r="R156" s="468">
        <v>0.8888888888888888</v>
      </c>
      <c r="S156" s="468">
        <f t="shared" si="23"/>
        <v>0</v>
      </c>
      <c r="T156" s="601"/>
      <c r="U156" s="602"/>
      <c r="V156" s="602"/>
      <c r="W156" s="602"/>
      <c r="X156" s="609">
        <f>S156</f>
        <v>0</v>
      </c>
      <c r="Y156" s="602"/>
      <c r="Z156" s="603"/>
      <c r="AA156" s="76"/>
      <c r="AB156" s="76"/>
      <c r="AC156" s="76"/>
    </row>
    <row r="157" spans="1:29" ht="15.75">
      <c r="A157" s="393"/>
      <c r="B157" s="424"/>
      <c r="C157" s="390" t="s">
        <v>274</v>
      </c>
      <c r="D157" s="390"/>
      <c r="I157" s="425">
        <f>'A.RAPIDO'!H18</f>
        <v>0</v>
      </c>
      <c r="J157" s="408"/>
      <c r="K157" s="425">
        <v>1</v>
      </c>
      <c r="L157" s="425">
        <f t="shared" si="20"/>
        <v>0</v>
      </c>
      <c r="M157" s="468">
        <f>M140</f>
        <v>0.8333333333333333</v>
      </c>
      <c r="N157" s="467">
        <f t="shared" si="21"/>
        <v>0</v>
      </c>
      <c r="O157" s="468">
        <f>O140</f>
        <v>1.0714285714285714</v>
      </c>
      <c r="P157" s="467">
        <f t="shared" si="22"/>
        <v>0</v>
      </c>
      <c r="Q157" s="468">
        <f>Q140</f>
        <v>4.2857142857142865</v>
      </c>
      <c r="R157" s="468">
        <v>0.6666666666666666</v>
      </c>
      <c r="S157" s="468">
        <f t="shared" si="23"/>
        <v>0</v>
      </c>
      <c r="T157" s="601"/>
      <c r="U157" s="604">
        <f>S157</f>
        <v>0</v>
      </c>
      <c r="V157" s="602"/>
      <c r="W157" s="602"/>
      <c r="X157" s="609"/>
      <c r="Y157" s="602"/>
      <c r="Z157" s="603"/>
      <c r="AA157" s="76"/>
      <c r="AB157" s="76"/>
      <c r="AC157" s="76"/>
    </row>
    <row r="158" spans="1:29" ht="15.75">
      <c r="A158" s="393"/>
      <c r="B158" s="424"/>
      <c r="C158" s="390" t="s">
        <v>426</v>
      </c>
      <c r="D158" s="390"/>
      <c r="I158" s="425">
        <f>'A.RAPIDO'!H21</f>
        <v>0</v>
      </c>
      <c r="J158" s="408"/>
      <c r="K158" s="425">
        <v>1.5</v>
      </c>
      <c r="L158" s="425">
        <f t="shared" si="20"/>
        <v>0</v>
      </c>
      <c r="M158" s="468">
        <f>M142</f>
        <v>1.25</v>
      </c>
      <c r="N158" s="467">
        <f t="shared" si="21"/>
        <v>0</v>
      </c>
      <c r="O158" s="468">
        <f>O142</f>
        <v>1.4285714285714284</v>
      </c>
      <c r="P158" s="467">
        <f t="shared" si="22"/>
        <v>0</v>
      </c>
      <c r="Q158" s="468">
        <f>Q142</f>
        <v>4.2857142857142865</v>
      </c>
      <c r="R158" s="468">
        <v>0.6666666666666666</v>
      </c>
      <c r="S158" s="468">
        <f t="shared" si="23"/>
        <v>0</v>
      </c>
      <c r="T158" s="601"/>
      <c r="U158" s="604">
        <f>S158</f>
        <v>0</v>
      </c>
      <c r="V158" s="602"/>
      <c r="W158" s="602"/>
      <c r="X158" s="609"/>
      <c r="Y158" s="602"/>
      <c r="Z158" s="603"/>
      <c r="AA158" s="76"/>
      <c r="AB158" s="76"/>
      <c r="AC158" s="76"/>
    </row>
    <row r="159" spans="1:29" ht="15.75">
      <c r="A159" s="393"/>
      <c r="B159" s="424"/>
      <c r="C159" s="390" t="s">
        <v>427</v>
      </c>
      <c r="D159" s="390"/>
      <c r="I159" s="425"/>
      <c r="J159" s="408"/>
      <c r="K159" s="425">
        <v>1</v>
      </c>
      <c r="L159" s="425">
        <f t="shared" si="20"/>
        <v>0</v>
      </c>
      <c r="M159" s="468">
        <f>M143</f>
        <v>0.8333333333333333</v>
      </c>
      <c r="N159" s="467">
        <f t="shared" si="21"/>
        <v>0</v>
      </c>
      <c r="O159" s="468">
        <f>O143</f>
        <v>1.0714285714285714</v>
      </c>
      <c r="P159" s="467">
        <f t="shared" si="22"/>
        <v>0</v>
      </c>
      <c r="Q159" s="468">
        <f>Q143</f>
        <v>4.2857142857142865</v>
      </c>
      <c r="R159" s="468">
        <v>0.6666666666666666</v>
      </c>
      <c r="S159" s="468">
        <f t="shared" si="23"/>
        <v>0</v>
      </c>
      <c r="T159" s="610">
        <f>S159</f>
        <v>0</v>
      </c>
      <c r="U159" s="602"/>
      <c r="V159" s="602"/>
      <c r="W159" s="602"/>
      <c r="X159" s="609"/>
      <c r="Y159" s="602"/>
      <c r="Z159" s="603"/>
      <c r="AA159" s="76"/>
      <c r="AB159" s="76"/>
      <c r="AC159" s="76"/>
    </row>
    <row r="160" spans="1:29" ht="15.75">
      <c r="A160" s="393"/>
      <c r="B160" s="424"/>
      <c r="C160" s="390" t="s">
        <v>280</v>
      </c>
      <c r="D160" s="390"/>
      <c r="I160" s="425">
        <f>'A.RAPIDO'!H19</f>
        <v>0</v>
      </c>
      <c r="J160" s="408"/>
      <c r="K160" s="425">
        <v>4</v>
      </c>
      <c r="L160" s="425">
        <f t="shared" si="20"/>
        <v>0</v>
      </c>
      <c r="M160" s="468" t="str">
        <f>M144</f>
        <v>0.5</v>
      </c>
      <c r="N160" s="467">
        <f t="shared" si="21"/>
        <v>0</v>
      </c>
      <c r="O160" s="468">
        <f>O144</f>
        <v>0.5</v>
      </c>
      <c r="P160" s="467">
        <f t="shared" si="22"/>
        <v>0</v>
      </c>
      <c r="Q160" s="468">
        <f>Q144</f>
        <v>2.571428571428571</v>
      </c>
      <c r="R160" s="468">
        <v>1</v>
      </c>
      <c r="S160" s="468">
        <f t="shared" si="23"/>
        <v>0</v>
      </c>
      <c r="T160" s="601"/>
      <c r="U160" s="602"/>
      <c r="V160" s="602"/>
      <c r="W160" s="602"/>
      <c r="X160" s="609">
        <f>S160</f>
        <v>0</v>
      </c>
      <c r="Y160" s="602"/>
      <c r="Z160" s="603"/>
      <c r="AA160" s="76"/>
      <c r="AB160" s="76"/>
      <c r="AC160" s="76"/>
    </row>
    <row r="161" spans="1:29" ht="15.75">
      <c r="A161" s="393"/>
      <c r="B161" s="424"/>
      <c r="C161" s="390" t="s">
        <v>309</v>
      </c>
      <c r="D161" s="390"/>
      <c r="I161" s="425">
        <f>'A.RAPIDO'!H23</f>
        <v>0</v>
      </c>
      <c r="J161" s="408">
        <f>'A.RAPIDO'!H24</f>
        <v>0</v>
      </c>
      <c r="K161" s="425">
        <v>3</v>
      </c>
      <c r="L161" s="425">
        <f t="shared" si="20"/>
        <v>0</v>
      </c>
      <c r="M161" s="468">
        <f>M145</f>
        <v>2.5</v>
      </c>
      <c r="N161" s="467">
        <f t="shared" si="21"/>
        <v>0</v>
      </c>
      <c r="O161" s="468">
        <f>G18</f>
        <v>2.8571428571428568</v>
      </c>
      <c r="P161" s="467">
        <f t="shared" si="22"/>
        <v>0</v>
      </c>
      <c r="Q161" s="468">
        <f>Q145</f>
        <v>3.142857142857143</v>
      </c>
      <c r="R161" s="468">
        <v>0.6666666666666666</v>
      </c>
      <c r="S161" s="468">
        <f t="shared" si="23"/>
        <v>0</v>
      </c>
      <c r="T161" s="601"/>
      <c r="U161" s="602"/>
      <c r="V161" s="602"/>
      <c r="W161" s="605">
        <f>S161</f>
        <v>0</v>
      </c>
      <c r="X161" s="609"/>
      <c r="Y161" s="602"/>
      <c r="Z161" s="603"/>
      <c r="AA161" s="76"/>
      <c r="AB161" s="76"/>
      <c r="AC161" s="76"/>
    </row>
    <row r="162" spans="1:29" ht="15.75">
      <c r="A162" s="393"/>
      <c r="B162" s="424"/>
      <c r="C162" s="390" t="s">
        <v>429</v>
      </c>
      <c r="D162" s="390"/>
      <c r="I162" s="425">
        <f>'A.RAPIDO'!H22</f>
        <v>0</v>
      </c>
      <c r="J162" s="408"/>
      <c r="K162" s="425">
        <v>1</v>
      </c>
      <c r="L162" s="425">
        <f t="shared" si="20"/>
        <v>0</v>
      </c>
      <c r="M162" s="468">
        <f>M146</f>
        <v>1.6666666666666665</v>
      </c>
      <c r="N162" s="467">
        <f t="shared" si="21"/>
        <v>0</v>
      </c>
      <c r="O162" s="468">
        <f>G20</f>
        <v>2.142857142857143</v>
      </c>
      <c r="P162" s="467">
        <f t="shared" si="22"/>
        <v>0</v>
      </c>
      <c r="Q162" s="468">
        <f>Q146</f>
        <v>4.2857142857142865</v>
      </c>
      <c r="R162" s="468">
        <v>0.6666666666666666</v>
      </c>
      <c r="S162" s="468">
        <f t="shared" si="23"/>
        <v>0</v>
      </c>
      <c r="T162" s="610">
        <f>S162</f>
        <v>0</v>
      </c>
      <c r="U162" s="602"/>
      <c r="V162" s="602"/>
      <c r="W162" s="602"/>
      <c r="X162" s="609"/>
      <c r="Y162" s="602"/>
      <c r="Z162" s="603"/>
      <c r="AA162" s="76"/>
      <c r="AB162" s="76"/>
      <c r="AC162" s="76"/>
    </row>
    <row r="163" spans="1:29" ht="15.75">
      <c r="A163" s="393"/>
      <c r="B163" s="424"/>
      <c r="C163" s="590" t="s">
        <v>293</v>
      </c>
      <c r="D163" s="390"/>
      <c r="I163" s="425"/>
      <c r="J163" s="408">
        <f>'A.RAPIDO'!H24</f>
        <v>0</v>
      </c>
      <c r="K163" s="425">
        <v>4</v>
      </c>
      <c r="L163" s="425">
        <f t="shared" si="20"/>
        <v>0</v>
      </c>
      <c r="M163" s="468">
        <f>M112</f>
        <v>1.6666666666666665</v>
      </c>
      <c r="N163" s="467">
        <f t="shared" si="21"/>
        <v>0</v>
      </c>
      <c r="O163" s="468">
        <f>G21</f>
        <v>1.7857142857142858</v>
      </c>
      <c r="P163" s="467">
        <f t="shared" si="22"/>
        <v>0</v>
      </c>
      <c r="Q163" s="468">
        <f>Q112</f>
        <v>4</v>
      </c>
      <c r="R163" s="468">
        <v>0.6666666666666666</v>
      </c>
      <c r="S163" s="468">
        <f t="shared" si="23"/>
        <v>0</v>
      </c>
      <c r="T163" s="601"/>
      <c r="U163" s="602">
        <f>S163*1/6</f>
        <v>0</v>
      </c>
      <c r="V163" s="602"/>
      <c r="W163" s="602">
        <f>S163*5/6</f>
        <v>0</v>
      </c>
      <c r="X163" s="609"/>
      <c r="Y163" s="602"/>
      <c r="Z163" s="603"/>
      <c r="AA163" s="76"/>
      <c r="AB163" s="76"/>
      <c r="AC163" s="76"/>
    </row>
    <row r="164" spans="1:29" ht="15.75">
      <c r="A164" s="393">
        <v>3</v>
      </c>
      <c r="B164" s="424" t="s">
        <v>445</v>
      </c>
      <c r="C164" s="590"/>
      <c r="D164" s="390"/>
      <c r="I164" s="425"/>
      <c r="J164" s="408"/>
      <c r="K164" s="425"/>
      <c r="L164" s="425"/>
      <c r="M164" s="468"/>
      <c r="N164" s="467"/>
      <c r="O164" s="468"/>
      <c r="P164" s="467"/>
      <c r="Q164" s="468"/>
      <c r="R164" s="468"/>
      <c r="S164" s="468"/>
      <c r="T164" s="601"/>
      <c r="U164" s="602"/>
      <c r="V164" s="602"/>
      <c r="W164" s="602"/>
      <c r="X164" s="609"/>
      <c r="Y164" s="602"/>
      <c r="Z164" s="603"/>
      <c r="AA164" s="76"/>
      <c r="AB164" s="76"/>
      <c r="AC164" s="76"/>
    </row>
    <row r="165" spans="1:29" ht="15.75">
      <c r="A165" s="111"/>
      <c r="B165" s="424"/>
      <c r="C165" s="390" t="s">
        <v>429</v>
      </c>
      <c r="D165" s="390"/>
      <c r="I165" s="425"/>
      <c r="J165" s="408">
        <f>'A.RAPIDO'!H27+'A.RAPIDO'!H28+'A.RAPIDO'!H29+'A.RAPIDO'!H30</f>
        <v>0</v>
      </c>
      <c r="K165" s="425">
        <v>1</v>
      </c>
      <c r="L165" s="425">
        <f t="shared" si="20"/>
        <v>0</v>
      </c>
      <c r="M165" s="425">
        <f>M162</f>
        <v>1.6666666666666665</v>
      </c>
      <c r="N165" s="467">
        <f t="shared" si="21"/>
        <v>0</v>
      </c>
      <c r="O165" s="468">
        <f>G21</f>
        <v>1.7857142857142858</v>
      </c>
      <c r="P165" s="467">
        <f t="shared" si="22"/>
        <v>0</v>
      </c>
      <c r="Q165" s="425">
        <f>Q162</f>
        <v>4.2857142857142865</v>
      </c>
      <c r="R165" s="425">
        <v>0.6666666666666666</v>
      </c>
      <c r="S165" s="468">
        <f t="shared" si="23"/>
        <v>0</v>
      </c>
      <c r="T165" s="610">
        <f>S165</f>
        <v>0</v>
      </c>
      <c r="U165" s="602"/>
      <c r="V165" s="602"/>
      <c r="W165" s="602"/>
      <c r="X165" s="609"/>
      <c r="Y165" s="602"/>
      <c r="Z165" s="603"/>
      <c r="AA165" s="76"/>
      <c r="AB165" s="76"/>
      <c r="AC165" s="76"/>
    </row>
    <row r="166" spans="1:29" ht="15.75">
      <c r="A166" s="111"/>
      <c r="B166" s="424"/>
      <c r="C166" s="390" t="s">
        <v>309</v>
      </c>
      <c r="D166" s="390"/>
      <c r="I166" s="425"/>
      <c r="J166" s="408">
        <f>'A.RAPIDO'!H31+'A.RAPIDO'!H32+'A.RAPIDO'!H33+'A.RAPIDO'!H34</f>
        <v>0</v>
      </c>
      <c r="K166" s="468">
        <v>3</v>
      </c>
      <c r="L166" s="425">
        <f t="shared" si="20"/>
        <v>0</v>
      </c>
      <c r="M166" s="468">
        <f>M161</f>
        <v>2.5</v>
      </c>
      <c r="N166" s="467">
        <f t="shared" si="21"/>
        <v>0</v>
      </c>
      <c r="O166" s="468">
        <f>G19</f>
        <v>2.5</v>
      </c>
      <c r="P166" s="467">
        <f t="shared" si="22"/>
        <v>0</v>
      </c>
      <c r="Q166" s="468">
        <f>Q161</f>
        <v>3.142857142857143</v>
      </c>
      <c r="R166" s="468">
        <v>0.6666666666666666</v>
      </c>
      <c r="S166" s="468">
        <f t="shared" si="23"/>
        <v>0</v>
      </c>
      <c r="T166" s="601"/>
      <c r="U166" s="602"/>
      <c r="V166" s="602"/>
      <c r="W166" s="605">
        <f>S166</f>
        <v>0</v>
      </c>
      <c r="X166" s="609"/>
      <c r="Y166" s="602"/>
      <c r="Z166" s="603"/>
      <c r="AA166" s="76"/>
      <c r="AB166" s="76"/>
      <c r="AC166" s="76"/>
    </row>
    <row r="167" spans="1:29" ht="15.75">
      <c r="A167" s="111"/>
      <c r="B167" s="424"/>
      <c r="C167" s="590" t="s">
        <v>293</v>
      </c>
      <c r="D167" s="390"/>
      <c r="I167" s="425"/>
      <c r="J167" s="408">
        <f>'A.RAPIDO'!H28+'A.RAPIDO'!H32</f>
        <v>0</v>
      </c>
      <c r="K167" s="425">
        <v>4</v>
      </c>
      <c r="L167" s="425">
        <f t="shared" si="20"/>
        <v>0</v>
      </c>
      <c r="M167" s="425">
        <f>M163</f>
        <v>1.6666666666666665</v>
      </c>
      <c r="N167" s="467">
        <f t="shared" si="21"/>
        <v>0</v>
      </c>
      <c r="O167" s="425">
        <f>O163</f>
        <v>1.7857142857142858</v>
      </c>
      <c r="P167" s="467">
        <f t="shared" si="22"/>
        <v>0</v>
      </c>
      <c r="Q167" s="425">
        <f>Q163</f>
        <v>4</v>
      </c>
      <c r="R167" s="425">
        <v>0.6666666666666666</v>
      </c>
      <c r="S167" s="468">
        <f t="shared" si="23"/>
        <v>0</v>
      </c>
      <c r="T167" s="601"/>
      <c r="U167" s="602">
        <f>S167*1/6</f>
        <v>0</v>
      </c>
      <c r="V167" s="602"/>
      <c r="W167" s="602">
        <f>S167*5/6</f>
        <v>0</v>
      </c>
      <c r="X167" s="609"/>
      <c r="Y167" s="602"/>
      <c r="Z167" s="603"/>
      <c r="AA167" s="76"/>
      <c r="AB167" s="76"/>
      <c r="AC167" s="76"/>
    </row>
    <row r="168" spans="1:29" ht="15.75">
      <c r="A168" s="111"/>
      <c r="B168" s="424"/>
      <c r="C168" s="590" t="s">
        <v>290</v>
      </c>
      <c r="D168" s="390"/>
      <c r="I168" s="425"/>
      <c r="J168" s="408">
        <f>'A.RAPIDO'!H29+'A.RAPIDO'!H33</f>
        <v>0</v>
      </c>
      <c r="K168" s="425">
        <v>4</v>
      </c>
      <c r="L168" s="425">
        <f t="shared" si="20"/>
        <v>0</v>
      </c>
      <c r="M168" s="425" t="str">
        <f>M119</f>
        <v>0.5</v>
      </c>
      <c r="N168" s="467">
        <f t="shared" si="21"/>
        <v>0</v>
      </c>
      <c r="O168" s="468">
        <f>G26</f>
        <v>0.5</v>
      </c>
      <c r="P168" s="467">
        <f t="shared" si="22"/>
        <v>0</v>
      </c>
      <c r="Q168" s="425">
        <f>Q119</f>
        <v>3.142857142857143</v>
      </c>
      <c r="R168" s="425">
        <v>1</v>
      </c>
      <c r="S168" s="468">
        <f t="shared" si="23"/>
        <v>0</v>
      </c>
      <c r="T168" s="601"/>
      <c r="U168" s="602"/>
      <c r="V168" s="602"/>
      <c r="W168" s="604">
        <f>S168</f>
        <v>0</v>
      </c>
      <c r="X168" s="609"/>
      <c r="Y168" s="602"/>
      <c r="Z168" s="603"/>
      <c r="AA168" s="76"/>
      <c r="AB168" s="76"/>
      <c r="AC168" s="76"/>
    </row>
    <row r="169" spans="1:29" ht="15.75">
      <c r="A169" s="111"/>
      <c r="B169" s="424"/>
      <c r="C169" s="590" t="s">
        <v>446</v>
      </c>
      <c r="D169" s="390"/>
      <c r="I169" s="425"/>
      <c r="J169" s="408">
        <f>'A.RAPIDO'!H30+'A.RAPIDO'!H34</f>
        <v>0</v>
      </c>
      <c r="K169" s="425">
        <v>3</v>
      </c>
      <c r="L169" s="425">
        <f t="shared" si="20"/>
        <v>0</v>
      </c>
      <c r="M169" s="468">
        <f>C15</f>
        <v>3.333333333333333</v>
      </c>
      <c r="N169" s="467">
        <f t="shared" si="21"/>
        <v>0</v>
      </c>
      <c r="O169" s="468">
        <f>G17</f>
        <v>3.2142857142857144</v>
      </c>
      <c r="P169" s="467">
        <f t="shared" si="22"/>
        <v>0</v>
      </c>
      <c r="Q169" s="468">
        <f>L21</f>
        <v>3.142857142857143</v>
      </c>
      <c r="R169" s="468">
        <v>0.6522633744855967</v>
      </c>
      <c r="S169" s="468">
        <f t="shared" si="23"/>
        <v>0</v>
      </c>
      <c r="T169" s="601"/>
      <c r="U169" s="602"/>
      <c r="V169" s="602"/>
      <c r="W169" s="602"/>
      <c r="X169" s="609">
        <f>S169</f>
        <v>0</v>
      </c>
      <c r="Y169" s="602"/>
      <c r="Z169" s="603"/>
      <c r="AA169" s="76"/>
      <c r="AB169" s="76"/>
      <c r="AC169" s="76"/>
    </row>
    <row r="170" spans="2:29" ht="13.5" thickBot="1">
      <c r="B170" s="390"/>
      <c r="C170" s="390"/>
      <c r="D170" s="390"/>
      <c r="I170" s="425"/>
      <c r="J170" s="408"/>
      <c r="K170" s="425"/>
      <c r="L170" s="425">
        <f>K170*(I170+J170)</f>
        <v>0</v>
      </c>
      <c r="M170" s="467"/>
      <c r="N170" s="467"/>
      <c r="O170" s="467"/>
      <c r="P170" s="467"/>
      <c r="Q170" s="467"/>
      <c r="R170" s="467"/>
      <c r="S170" s="468"/>
      <c r="T170" s="601"/>
      <c r="U170" s="602"/>
      <c r="V170" s="602"/>
      <c r="W170" s="602"/>
      <c r="X170" s="609"/>
      <c r="Y170" s="602"/>
      <c r="Z170" s="603"/>
      <c r="AA170" s="76"/>
      <c r="AB170" s="76"/>
      <c r="AC170" s="76"/>
    </row>
    <row r="171" spans="1:29" ht="13.5" thickBot="1">
      <c r="A171" s="389"/>
      <c r="B171" s="388" t="s">
        <v>16</v>
      </c>
      <c r="C171" s="398"/>
      <c r="D171" s="398"/>
      <c r="E171" s="398"/>
      <c r="F171" s="398"/>
      <c r="G171" s="398"/>
      <c r="H171" s="428"/>
      <c r="I171" s="381">
        <f>SUM(I172:I186)</f>
        <v>0</v>
      </c>
      <c r="J171" s="381">
        <f>SUM(J172:J186)</f>
        <v>0</v>
      </c>
      <c r="K171" s="381"/>
      <c r="L171" s="381">
        <f>SUM(L172:L191)</f>
        <v>0</v>
      </c>
      <c r="M171" s="436">
        <f>SUM(M172:M191)</f>
        <v>40.83333333333332</v>
      </c>
      <c r="N171" s="436">
        <f>SUM(N172:N191)</f>
        <v>0</v>
      </c>
      <c r="O171" s="436">
        <f>SUM(O172:O191)</f>
        <v>28.21428571428571</v>
      </c>
      <c r="P171" s="436">
        <f>SUM(P172:P191)</f>
        <v>0</v>
      </c>
      <c r="Q171" s="606"/>
      <c r="R171" s="606"/>
      <c r="S171" s="613">
        <f>SUM(S172:S191)</f>
        <v>0</v>
      </c>
      <c r="T171" s="601"/>
      <c r="U171" s="602"/>
      <c r="V171" s="602"/>
      <c r="W171" s="602"/>
      <c r="X171" s="609"/>
      <c r="Y171" s="602"/>
      <c r="Z171" s="603"/>
      <c r="AA171" s="76"/>
      <c r="AB171" s="76"/>
      <c r="AC171" s="76"/>
    </row>
    <row r="172" spans="1:29" ht="15.75">
      <c r="A172" s="393">
        <v>1</v>
      </c>
      <c r="B172" s="424" t="s">
        <v>447</v>
      </c>
      <c r="C172" s="390"/>
      <c r="D172" s="390"/>
      <c r="I172" s="425"/>
      <c r="J172" s="408"/>
      <c r="K172" s="425"/>
      <c r="L172" s="425">
        <f>K172*(I172+J172)</f>
        <v>0</v>
      </c>
      <c r="M172" s="467"/>
      <c r="N172" s="467"/>
      <c r="O172" s="467"/>
      <c r="P172" s="467"/>
      <c r="Q172" s="467"/>
      <c r="R172" s="468"/>
      <c r="S172" s="507"/>
      <c r="T172" s="607"/>
      <c r="U172" s="602"/>
      <c r="V172" s="602"/>
      <c r="W172" s="602"/>
      <c r="X172" s="609"/>
      <c r="Y172" s="602"/>
      <c r="Z172" s="603"/>
      <c r="AA172" s="76"/>
      <c r="AB172" s="76"/>
      <c r="AC172" s="76"/>
    </row>
    <row r="173" spans="1:29" ht="12.75">
      <c r="A173" s="393"/>
      <c r="B173" s="390"/>
      <c r="C173" s="390" t="s">
        <v>113</v>
      </c>
      <c r="D173" s="390"/>
      <c r="I173" s="425">
        <f>'A.PESADO'!H6</f>
        <v>0</v>
      </c>
      <c r="J173" s="408"/>
      <c r="K173" s="425">
        <v>1</v>
      </c>
      <c r="L173" s="425">
        <f aca="true" t="shared" si="24" ref="L173:L180">K173*(I173+J173)</f>
        <v>0</v>
      </c>
      <c r="M173" s="468">
        <f>M85</f>
        <v>0.8333333333333333</v>
      </c>
      <c r="N173" s="467">
        <f aca="true" t="shared" si="25" ref="N173:N180">M173*L173</f>
        <v>0</v>
      </c>
      <c r="O173" s="468">
        <f>O85</f>
        <v>1.0714285714285714</v>
      </c>
      <c r="P173" s="467">
        <f aca="true" t="shared" si="26" ref="P173:P180">O173*L173</f>
        <v>0</v>
      </c>
      <c r="Q173" s="468">
        <f>Q85</f>
        <v>2.571428571428571</v>
      </c>
      <c r="R173" s="468">
        <v>0.6666666666666666</v>
      </c>
      <c r="S173" s="467">
        <f aca="true" t="shared" si="27" ref="S173:S180">L173*Q173*R173</f>
        <v>0</v>
      </c>
      <c r="T173" s="607"/>
      <c r="U173" s="602"/>
      <c r="V173" s="602"/>
      <c r="W173" s="602"/>
      <c r="X173" s="609">
        <f>S173</f>
        <v>0</v>
      </c>
      <c r="Y173" s="602"/>
      <c r="Z173" s="603"/>
      <c r="AA173" s="76"/>
      <c r="AB173" s="76"/>
      <c r="AC173" s="76"/>
    </row>
    <row r="174" spans="1:29" ht="12.75">
      <c r="A174" s="393"/>
      <c r="B174" s="390"/>
      <c r="C174" s="390" t="s">
        <v>274</v>
      </c>
      <c r="D174" s="390"/>
      <c r="I174" s="425">
        <f>'A.PESADO'!H7</f>
        <v>0</v>
      </c>
      <c r="J174" s="408"/>
      <c r="K174" s="425">
        <v>1</v>
      </c>
      <c r="L174" s="425">
        <f t="shared" si="24"/>
        <v>0</v>
      </c>
      <c r="M174" s="468">
        <f>M86</f>
        <v>0.8333333333333333</v>
      </c>
      <c r="N174" s="467">
        <f t="shared" si="25"/>
        <v>0</v>
      </c>
      <c r="O174" s="468">
        <f>O86</f>
        <v>1.0714285714285714</v>
      </c>
      <c r="P174" s="467">
        <f t="shared" si="26"/>
        <v>0</v>
      </c>
      <c r="Q174" s="468">
        <f>Q86</f>
        <v>4.2857142857142865</v>
      </c>
      <c r="R174" s="468">
        <v>0.6666666666666666</v>
      </c>
      <c r="S174" s="467">
        <f t="shared" si="27"/>
        <v>0</v>
      </c>
      <c r="T174" s="607"/>
      <c r="U174" s="604">
        <f>S174</f>
        <v>0</v>
      </c>
      <c r="V174" s="602"/>
      <c r="W174" s="602"/>
      <c r="X174" s="609"/>
      <c r="Y174" s="602"/>
      <c r="Z174" s="603"/>
      <c r="AA174" s="76"/>
      <c r="AB174" s="76"/>
      <c r="AC174" s="76"/>
    </row>
    <row r="175" spans="1:29" ht="12.75">
      <c r="A175" s="393"/>
      <c r="B175" s="390"/>
      <c r="C175" s="390" t="s">
        <v>416</v>
      </c>
      <c r="D175" s="390"/>
      <c r="I175" s="425">
        <f>'A.PESADO'!H5+'A.PESADO'!H8</f>
        <v>0</v>
      </c>
      <c r="J175" s="408"/>
      <c r="K175" s="425">
        <v>1.5</v>
      </c>
      <c r="L175" s="425">
        <f t="shared" si="24"/>
        <v>0</v>
      </c>
      <c r="M175" s="468">
        <f>M87</f>
        <v>1.25</v>
      </c>
      <c r="N175" s="467">
        <f t="shared" si="25"/>
        <v>0</v>
      </c>
      <c r="O175" s="468">
        <f>O87</f>
        <v>1.4285714285714284</v>
      </c>
      <c r="P175" s="467">
        <f t="shared" si="26"/>
        <v>0</v>
      </c>
      <c r="Q175" s="468">
        <f>Q87</f>
        <v>2.571428571428571</v>
      </c>
      <c r="R175" s="468">
        <v>0.6666666666666666</v>
      </c>
      <c r="S175" s="467">
        <f t="shared" si="27"/>
        <v>0</v>
      </c>
      <c r="T175" s="607"/>
      <c r="U175" s="602"/>
      <c r="V175" s="602"/>
      <c r="W175" s="602"/>
      <c r="X175" s="609">
        <f>S175</f>
        <v>0</v>
      </c>
      <c r="Y175" s="602"/>
      <c r="Z175" s="603"/>
      <c r="AA175" s="76"/>
      <c r="AB175" s="76"/>
      <c r="AC175" s="76"/>
    </row>
    <row r="176" spans="1:29" ht="12.75">
      <c r="A176" s="393"/>
      <c r="B176" s="390"/>
      <c r="C176" s="390" t="s">
        <v>309</v>
      </c>
      <c r="D176" s="390"/>
      <c r="I176" s="425">
        <f>'A.PESADO'!H9</f>
        <v>0</v>
      </c>
      <c r="J176" s="408"/>
      <c r="K176" s="425">
        <v>3</v>
      </c>
      <c r="L176" s="425">
        <f t="shared" si="24"/>
        <v>0</v>
      </c>
      <c r="M176" s="468">
        <f>M99</f>
        <v>2.5</v>
      </c>
      <c r="N176" s="467">
        <f t="shared" si="25"/>
        <v>0</v>
      </c>
      <c r="O176" s="468">
        <f>O99</f>
        <v>0</v>
      </c>
      <c r="P176" s="467">
        <f t="shared" si="26"/>
        <v>0</v>
      </c>
      <c r="Q176" s="468">
        <f>Q99</f>
        <v>3.142857142857143</v>
      </c>
      <c r="R176" s="468">
        <v>0.6666666666666666</v>
      </c>
      <c r="S176" s="467">
        <f t="shared" si="27"/>
        <v>0</v>
      </c>
      <c r="T176" s="607"/>
      <c r="U176" s="602"/>
      <c r="V176" s="602"/>
      <c r="W176" s="604">
        <f>S176</f>
        <v>0</v>
      </c>
      <c r="X176" s="609"/>
      <c r="Y176" s="602"/>
      <c r="Z176" s="603"/>
      <c r="AA176" s="76"/>
      <c r="AB176" s="76"/>
      <c r="AC176" s="76"/>
    </row>
    <row r="177" spans="1:29" ht="12.75">
      <c r="A177" s="393"/>
      <c r="B177" s="390"/>
      <c r="C177" s="390" t="s">
        <v>429</v>
      </c>
      <c r="D177" s="390"/>
      <c r="I177" s="425">
        <f>'A.PESADO'!H10</f>
        <v>0</v>
      </c>
      <c r="J177" s="408"/>
      <c r="K177" s="425">
        <v>1</v>
      </c>
      <c r="L177" s="425">
        <f t="shared" si="24"/>
        <v>0</v>
      </c>
      <c r="M177" s="468">
        <f>M100</f>
        <v>1.6666666666666665</v>
      </c>
      <c r="N177" s="467">
        <f t="shared" si="25"/>
        <v>0</v>
      </c>
      <c r="O177" s="468">
        <f>O100</f>
        <v>0</v>
      </c>
      <c r="P177" s="467">
        <f t="shared" si="26"/>
        <v>0</v>
      </c>
      <c r="Q177" s="468">
        <f>Q100</f>
        <v>4.2857142857142865</v>
      </c>
      <c r="R177" s="468">
        <v>0.6666666666666666</v>
      </c>
      <c r="S177" s="467">
        <f t="shared" si="27"/>
        <v>0</v>
      </c>
      <c r="T177" s="608">
        <f>S177</f>
        <v>0</v>
      </c>
      <c r="U177" s="602"/>
      <c r="V177" s="602"/>
      <c r="W177" s="602"/>
      <c r="X177" s="609"/>
      <c r="Y177" s="602"/>
      <c r="Z177" s="603"/>
      <c r="AA177" s="76"/>
      <c r="AB177" s="76"/>
      <c r="AC177" s="76"/>
    </row>
    <row r="178" spans="1:29" ht="12.75">
      <c r="A178" s="393"/>
      <c r="B178" s="390"/>
      <c r="C178" s="390" t="s">
        <v>428</v>
      </c>
      <c r="D178" s="390"/>
      <c r="I178" s="425">
        <f>'A.PESADO'!H11</f>
        <v>0</v>
      </c>
      <c r="J178" s="408"/>
      <c r="K178" s="425">
        <v>3</v>
      </c>
      <c r="L178" s="425">
        <f t="shared" si="24"/>
        <v>0</v>
      </c>
      <c r="M178" s="468">
        <f>M101</f>
        <v>2.5</v>
      </c>
      <c r="N178" s="467">
        <f t="shared" si="25"/>
        <v>0</v>
      </c>
      <c r="O178" s="468">
        <f>O101</f>
        <v>0</v>
      </c>
      <c r="P178" s="467">
        <f t="shared" si="26"/>
        <v>0</v>
      </c>
      <c r="Q178" s="468">
        <f>Q101</f>
        <v>4.2857142857142865</v>
      </c>
      <c r="R178" s="468">
        <v>0.43209876543209874</v>
      </c>
      <c r="S178" s="467">
        <f t="shared" si="27"/>
        <v>0</v>
      </c>
      <c r="T178" s="607"/>
      <c r="U178" s="609">
        <f>S178</f>
        <v>0</v>
      </c>
      <c r="V178" s="602"/>
      <c r="W178" s="602"/>
      <c r="X178" s="580"/>
      <c r="Y178" s="580"/>
      <c r="Z178" s="603"/>
      <c r="AA178" s="76"/>
      <c r="AB178" s="76"/>
      <c r="AC178" s="76"/>
    </row>
    <row r="179" spans="1:29" ht="12.75">
      <c r="A179" s="393"/>
      <c r="B179" s="390"/>
      <c r="C179" s="390" t="s">
        <v>299</v>
      </c>
      <c r="D179" s="390"/>
      <c r="I179" s="425">
        <f>'A.PESADO'!H12</f>
        <v>0</v>
      </c>
      <c r="J179" s="425"/>
      <c r="K179" s="425">
        <v>3</v>
      </c>
      <c r="L179" s="425">
        <f t="shared" si="24"/>
        <v>0</v>
      </c>
      <c r="M179" s="468">
        <f>M102</f>
        <v>3.333333333333333</v>
      </c>
      <c r="N179" s="467">
        <f t="shared" si="25"/>
        <v>0</v>
      </c>
      <c r="O179" s="468">
        <f>O102</f>
        <v>0</v>
      </c>
      <c r="P179" s="467">
        <f t="shared" si="26"/>
        <v>0</v>
      </c>
      <c r="Q179" s="468">
        <f>Q102</f>
        <v>2.571428571428571</v>
      </c>
      <c r="R179" s="468">
        <v>0.5185185185185185</v>
      </c>
      <c r="S179" s="467">
        <f t="shared" si="27"/>
        <v>0</v>
      </c>
      <c r="T179" s="607"/>
      <c r="U179" s="602"/>
      <c r="V179" s="602"/>
      <c r="W179" s="602"/>
      <c r="X179" s="609"/>
      <c r="Y179" s="604">
        <f>S179</f>
        <v>0</v>
      </c>
      <c r="Z179" s="603"/>
      <c r="AA179" s="76"/>
      <c r="AB179" s="76"/>
      <c r="AC179" s="76"/>
    </row>
    <row r="180" spans="1:29" ht="12.75">
      <c r="A180" s="393"/>
      <c r="B180" s="390"/>
      <c r="C180" s="390" t="s">
        <v>112</v>
      </c>
      <c r="D180" s="390"/>
      <c r="I180" s="425">
        <f>'A.PESADO'!H13</f>
        <v>0</v>
      </c>
      <c r="J180" s="425"/>
      <c r="K180" s="425">
        <v>1</v>
      </c>
      <c r="L180" s="425">
        <f t="shared" si="24"/>
        <v>0</v>
      </c>
      <c r="M180" s="468">
        <f>M103</f>
        <v>3.333333333333333</v>
      </c>
      <c r="N180" s="467">
        <f t="shared" si="25"/>
        <v>0</v>
      </c>
      <c r="O180" s="468">
        <f>O103</f>
        <v>0</v>
      </c>
      <c r="P180" s="467">
        <f t="shared" si="26"/>
        <v>0</v>
      </c>
      <c r="Q180" s="468">
        <f>Q103</f>
        <v>4.2857142857142865</v>
      </c>
      <c r="R180" s="468">
        <v>0.6666666666666666</v>
      </c>
      <c r="S180" s="467">
        <f t="shared" si="27"/>
        <v>0</v>
      </c>
      <c r="T180" s="607"/>
      <c r="U180" s="604">
        <f>S180</f>
        <v>0</v>
      </c>
      <c r="V180" s="602"/>
      <c r="W180" s="602"/>
      <c r="X180" s="609"/>
      <c r="Y180" s="602"/>
      <c r="Z180" s="603"/>
      <c r="AA180" s="76"/>
      <c r="AB180" s="76"/>
      <c r="AC180" s="76"/>
    </row>
    <row r="181" spans="1:29" ht="15.75">
      <c r="A181" s="393">
        <v>2</v>
      </c>
      <c r="B181" s="424" t="s">
        <v>421</v>
      </c>
      <c r="D181" s="390"/>
      <c r="I181" s="425"/>
      <c r="J181" s="408"/>
      <c r="K181" s="425"/>
      <c r="L181" s="425"/>
      <c r="M181" s="467"/>
      <c r="N181" s="467"/>
      <c r="O181" s="467"/>
      <c r="P181" s="467"/>
      <c r="Q181" s="467"/>
      <c r="R181" s="468"/>
      <c r="S181" s="467"/>
      <c r="T181" s="607"/>
      <c r="U181" s="602"/>
      <c r="V181" s="602"/>
      <c r="W181" s="602"/>
      <c r="X181" s="609"/>
      <c r="Y181" s="602"/>
      <c r="Z181" s="603"/>
      <c r="AA181" s="76"/>
      <c r="AB181" s="76"/>
      <c r="AC181" s="76"/>
    </row>
    <row r="182" spans="1:29" ht="12.75">
      <c r="A182" s="393"/>
      <c r="B182" s="390"/>
      <c r="C182" s="390" t="s">
        <v>123</v>
      </c>
      <c r="D182" s="390"/>
      <c r="I182" s="425"/>
      <c r="J182" s="408">
        <f>'A.PESADO'!H28+'A.PESADO'!H30+'A.PESADO'!H31</f>
        <v>0</v>
      </c>
      <c r="K182" s="425">
        <v>2</v>
      </c>
      <c r="L182" s="425">
        <f>K182*(I182+J182)</f>
        <v>0</v>
      </c>
      <c r="M182" s="467">
        <f>C15</f>
        <v>3.333333333333333</v>
      </c>
      <c r="N182" s="467">
        <f>M182*L182</f>
        <v>0</v>
      </c>
      <c r="O182" s="467">
        <f>G17</f>
        <v>3.2142857142857144</v>
      </c>
      <c r="P182" s="467">
        <f>O182*L182</f>
        <v>0</v>
      </c>
      <c r="Q182" s="467">
        <f>L15</f>
        <v>4.2857142857142865</v>
      </c>
      <c r="R182" s="468">
        <v>0.6666666666666666</v>
      </c>
      <c r="S182" s="467">
        <f>L182*Q182*R182</f>
        <v>0</v>
      </c>
      <c r="T182" s="607"/>
      <c r="U182" s="602"/>
      <c r="V182" s="602"/>
      <c r="W182" s="609">
        <f>S182</f>
        <v>0</v>
      </c>
      <c r="X182" s="580"/>
      <c r="Y182" s="602"/>
      <c r="Z182" s="603"/>
      <c r="AA182" s="76"/>
      <c r="AB182" s="76"/>
      <c r="AC182" s="76"/>
    </row>
    <row r="183" spans="1:29" ht="12.75">
      <c r="A183" s="393"/>
      <c r="B183" s="390"/>
      <c r="C183" s="390" t="s">
        <v>309</v>
      </c>
      <c r="D183" s="390"/>
      <c r="I183" s="425"/>
      <c r="J183" s="408">
        <f>(('A.PESADO'!H30)*2)+(('A.PESADO'!H32)*2)</f>
        <v>0</v>
      </c>
      <c r="K183" s="425">
        <v>3</v>
      </c>
      <c r="L183" s="425">
        <f>K183*(I183+J183)</f>
        <v>0</v>
      </c>
      <c r="M183" s="467">
        <f>C16</f>
        <v>2.5</v>
      </c>
      <c r="N183" s="467">
        <f>M183*L183</f>
        <v>0</v>
      </c>
      <c r="O183" s="467">
        <f>G19</f>
        <v>2.5</v>
      </c>
      <c r="P183" s="467">
        <f>O183*L183</f>
        <v>0</v>
      </c>
      <c r="Q183" s="467">
        <f>L21</f>
        <v>3.142857142857143</v>
      </c>
      <c r="R183" s="468">
        <v>0.6666666666666666</v>
      </c>
      <c r="S183" s="467">
        <f>L183*Q183*R183</f>
        <v>0</v>
      </c>
      <c r="T183" s="607"/>
      <c r="U183" s="602"/>
      <c r="V183" s="602"/>
      <c r="W183" s="609">
        <f>S183</f>
        <v>0</v>
      </c>
      <c r="X183" s="580"/>
      <c r="Y183" s="602"/>
      <c r="Z183" s="603"/>
      <c r="AA183" s="76"/>
      <c r="AB183" s="76"/>
      <c r="AC183" s="76"/>
    </row>
    <row r="184" spans="1:29" ht="12.75">
      <c r="A184" s="393"/>
      <c r="B184" s="390"/>
      <c r="C184" s="390" t="s">
        <v>296</v>
      </c>
      <c r="D184" s="390"/>
      <c r="I184" s="425"/>
      <c r="J184" s="408">
        <f>'A.PESADO'!H18</f>
        <v>0</v>
      </c>
      <c r="K184" s="425">
        <v>3</v>
      </c>
      <c r="L184" s="425">
        <f aca="true" t="shared" si="28" ref="L184:L189">K184*(I184+J184)</f>
        <v>0</v>
      </c>
      <c r="M184" s="425">
        <f>M183</f>
        <v>2.5</v>
      </c>
      <c r="N184" s="467">
        <f aca="true" t="shared" si="29" ref="N184:N191">M184*L184</f>
        <v>0</v>
      </c>
      <c r="O184" s="425">
        <f>O183</f>
        <v>2.5</v>
      </c>
      <c r="P184" s="467">
        <f aca="true" t="shared" si="30" ref="P184:P191">O184*L184</f>
        <v>0</v>
      </c>
      <c r="Q184" s="425">
        <f>Q183</f>
        <v>3.142857142857143</v>
      </c>
      <c r="R184" s="468">
        <v>0.8888888888888888</v>
      </c>
      <c r="S184" s="467">
        <f>L184*Q184*R184</f>
        <v>0</v>
      </c>
      <c r="T184" s="607"/>
      <c r="U184" s="602"/>
      <c r="V184" s="602"/>
      <c r="W184" s="609">
        <f>S184</f>
        <v>0</v>
      </c>
      <c r="X184" s="580"/>
      <c r="Y184" s="602"/>
      <c r="Z184" s="603"/>
      <c r="AA184" s="76"/>
      <c r="AB184" s="76"/>
      <c r="AC184" s="76"/>
    </row>
    <row r="185" spans="1:29" ht="12.75">
      <c r="A185" s="393"/>
      <c r="B185" s="390"/>
      <c r="C185" s="390" t="s">
        <v>448</v>
      </c>
      <c r="D185" s="390"/>
      <c r="I185" s="425"/>
      <c r="J185" s="408">
        <f>('A.PESADO'!H31*2)+('A.PESADO'!H33*2)</f>
        <v>0</v>
      </c>
      <c r="K185" s="425">
        <v>1</v>
      </c>
      <c r="L185" s="425">
        <f t="shared" si="28"/>
        <v>0</v>
      </c>
      <c r="M185" s="425">
        <f>M186</f>
        <v>3.333333333333333</v>
      </c>
      <c r="N185" s="467">
        <f t="shared" si="29"/>
        <v>0</v>
      </c>
      <c r="O185" s="425">
        <f>O186</f>
        <v>3.2142857142857144</v>
      </c>
      <c r="P185" s="467">
        <f t="shared" si="30"/>
        <v>0</v>
      </c>
      <c r="Q185" s="425">
        <f>Q186</f>
        <v>4.2857142857142865</v>
      </c>
      <c r="R185" s="468">
        <v>0.6666666666666666</v>
      </c>
      <c r="S185" s="467">
        <f>L185*Q185*R185</f>
        <v>0</v>
      </c>
      <c r="T185" s="607"/>
      <c r="U185" s="602">
        <f>S185</f>
        <v>0</v>
      </c>
      <c r="V185" s="602"/>
      <c r="W185" s="609"/>
      <c r="X185" s="580"/>
      <c r="Y185" s="602"/>
      <c r="Z185" s="603"/>
      <c r="AA185" s="76"/>
      <c r="AB185" s="76"/>
      <c r="AC185" s="76"/>
    </row>
    <row r="186" spans="1:29" ht="12.75">
      <c r="A186" s="393"/>
      <c r="B186" s="390"/>
      <c r="C186" s="390" t="s">
        <v>125</v>
      </c>
      <c r="D186" s="390"/>
      <c r="I186" s="425"/>
      <c r="J186" s="408">
        <f>(2*('A.PESADO'!H18))+'A.PESADO'!H29+'A.PESADO'!H32+'A.PESADO'!H33</f>
        <v>0</v>
      </c>
      <c r="K186" s="425">
        <v>1</v>
      </c>
      <c r="L186" s="425">
        <f t="shared" si="28"/>
        <v>0</v>
      </c>
      <c r="M186" s="467">
        <f>C15</f>
        <v>3.333333333333333</v>
      </c>
      <c r="N186" s="467">
        <f t="shared" si="29"/>
        <v>0</v>
      </c>
      <c r="O186" s="467">
        <f>G17</f>
        <v>3.2142857142857144</v>
      </c>
      <c r="P186" s="467">
        <f t="shared" si="30"/>
        <v>0</v>
      </c>
      <c r="Q186" s="467">
        <f>L15</f>
        <v>4.2857142857142865</v>
      </c>
      <c r="R186" s="468">
        <v>0.8888888888888888</v>
      </c>
      <c r="S186" s="467">
        <f aca="true" t="shared" si="31" ref="S186:S191">L186*Q186*R186</f>
        <v>0</v>
      </c>
      <c r="T186" s="607"/>
      <c r="U186" s="609">
        <f>S186</f>
        <v>0</v>
      </c>
      <c r="V186" s="602"/>
      <c r="W186" s="602"/>
      <c r="X186" s="580"/>
      <c r="Y186" s="602"/>
      <c r="Z186" s="603"/>
      <c r="AA186" s="76"/>
      <c r="AB186" s="76"/>
      <c r="AC186" s="76"/>
    </row>
    <row r="187" spans="1:29" ht="12.75">
      <c r="A187" s="393"/>
      <c r="B187" s="390"/>
      <c r="C187" s="390" t="s">
        <v>449</v>
      </c>
      <c r="D187" s="390"/>
      <c r="I187" s="425"/>
      <c r="J187" s="408">
        <f>'A.PESADO'!H23</f>
        <v>0</v>
      </c>
      <c r="K187" s="425">
        <v>4</v>
      </c>
      <c r="L187" s="425">
        <f t="shared" si="28"/>
        <v>0</v>
      </c>
      <c r="M187" s="425">
        <f>M167</f>
        <v>1.6666666666666665</v>
      </c>
      <c r="N187" s="467">
        <f t="shared" si="29"/>
        <v>0</v>
      </c>
      <c r="O187" s="425">
        <f>O167</f>
        <v>1.7857142857142858</v>
      </c>
      <c r="P187" s="467">
        <f t="shared" si="30"/>
        <v>0</v>
      </c>
      <c r="Q187" s="425">
        <f>Q167</f>
        <v>4</v>
      </c>
      <c r="R187" s="468">
        <v>0.8888888888888888</v>
      </c>
      <c r="S187" s="467">
        <f t="shared" si="31"/>
        <v>0</v>
      </c>
      <c r="T187" s="607"/>
      <c r="U187" s="609">
        <f>S187*1/6</f>
        <v>0</v>
      </c>
      <c r="V187" s="602"/>
      <c r="W187" s="602">
        <f>S187*5/6</f>
        <v>0</v>
      </c>
      <c r="X187" s="580"/>
      <c r="Y187" s="602"/>
      <c r="Z187" s="603"/>
      <c r="AA187" s="76"/>
      <c r="AB187" s="76"/>
      <c r="AC187" s="76"/>
    </row>
    <row r="188" spans="1:29" ht="12.75">
      <c r="A188" s="393"/>
      <c r="B188" s="390"/>
      <c r="C188" s="390" t="s">
        <v>295</v>
      </c>
      <c r="D188" s="390"/>
      <c r="I188" s="425"/>
      <c r="J188" s="408">
        <f>'A.PESADO'!H23</f>
        <v>0</v>
      </c>
      <c r="K188" s="425">
        <v>1</v>
      </c>
      <c r="L188" s="425">
        <f t="shared" si="28"/>
        <v>0</v>
      </c>
      <c r="M188" s="425">
        <f>M165</f>
        <v>1.6666666666666665</v>
      </c>
      <c r="N188" s="467">
        <f t="shared" si="29"/>
        <v>0</v>
      </c>
      <c r="O188" s="425">
        <f>O165</f>
        <v>1.7857142857142858</v>
      </c>
      <c r="P188" s="467">
        <f t="shared" si="30"/>
        <v>0</v>
      </c>
      <c r="Q188" s="425">
        <f>Q165</f>
        <v>4.2857142857142865</v>
      </c>
      <c r="R188" s="425">
        <v>0.6666666666666666</v>
      </c>
      <c r="S188" s="467">
        <f t="shared" si="31"/>
        <v>0</v>
      </c>
      <c r="T188" s="608">
        <f>S188</f>
        <v>0</v>
      </c>
      <c r="U188" s="609"/>
      <c r="V188" s="602"/>
      <c r="W188" s="602"/>
      <c r="X188" s="580"/>
      <c r="Y188" s="602"/>
      <c r="Z188" s="603"/>
      <c r="AA188" s="76"/>
      <c r="AB188" s="76"/>
      <c r="AC188" s="76"/>
    </row>
    <row r="189" spans="1:29" ht="12.75">
      <c r="A189" s="393"/>
      <c r="B189" s="390"/>
      <c r="C189" s="390" t="s">
        <v>450</v>
      </c>
      <c r="D189" s="390"/>
      <c r="I189" s="425"/>
      <c r="J189" s="408">
        <f>'A.PESADO'!H23*2</f>
        <v>0</v>
      </c>
      <c r="K189" s="425">
        <v>4.5</v>
      </c>
      <c r="L189" s="425">
        <f t="shared" si="28"/>
        <v>0</v>
      </c>
      <c r="M189" s="467">
        <f>C19</f>
        <v>1.25</v>
      </c>
      <c r="N189" s="467">
        <f t="shared" si="29"/>
        <v>0</v>
      </c>
      <c r="O189" s="467">
        <f>G22</f>
        <v>1.4285714285714284</v>
      </c>
      <c r="P189" s="467">
        <f t="shared" si="30"/>
        <v>0</v>
      </c>
      <c r="Q189" s="467">
        <f>L23</f>
        <v>2.571428571428571</v>
      </c>
      <c r="R189" s="468">
        <v>0.8888888888888888</v>
      </c>
      <c r="S189" s="467">
        <f t="shared" si="31"/>
        <v>0</v>
      </c>
      <c r="T189" s="607"/>
      <c r="U189" s="609"/>
      <c r="V189" s="602"/>
      <c r="W189" s="602"/>
      <c r="X189" s="614">
        <f>S189</f>
        <v>0</v>
      </c>
      <c r="Y189" s="602"/>
      <c r="Z189" s="603"/>
      <c r="AA189" s="76"/>
      <c r="AB189" s="76"/>
      <c r="AC189" s="76"/>
    </row>
    <row r="190" spans="1:29" ht="12.75">
      <c r="A190" s="393"/>
      <c r="B190" s="390"/>
      <c r="C190" s="390" t="s">
        <v>451</v>
      </c>
      <c r="D190" s="390"/>
      <c r="I190" s="425"/>
      <c r="J190" s="408">
        <f>'A.PESADO'!H38</f>
        <v>0</v>
      </c>
      <c r="K190" s="425">
        <v>5</v>
      </c>
      <c r="L190" s="425">
        <f>K190*(I190+J190)</f>
        <v>0</v>
      </c>
      <c r="M190" s="467">
        <f>M185</f>
        <v>3.333333333333333</v>
      </c>
      <c r="N190" s="467">
        <f t="shared" si="29"/>
        <v>0</v>
      </c>
      <c r="O190" s="467">
        <f>O185</f>
        <v>3.2142857142857144</v>
      </c>
      <c r="P190" s="467">
        <f t="shared" si="30"/>
        <v>0</v>
      </c>
      <c r="Q190" s="467">
        <f>Q183</f>
        <v>3.142857142857143</v>
      </c>
      <c r="R190" s="468">
        <v>0.6111111111111112</v>
      </c>
      <c r="S190" s="467">
        <f t="shared" si="31"/>
        <v>0</v>
      </c>
      <c r="T190" s="607"/>
      <c r="U190" s="609"/>
      <c r="V190" s="602"/>
      <c r="W190" s="604">
        <f>S190</f>
        <v>0</v>
      </c>
      <c r="X190" s="580"/>
      <c r="Y190" s="602"/>
      <c r="Z190" s="603"/>
      <c r="AA190" s="76"/>
      <c r="AB190" s="76"/>
      <c r="AC190" s="76"/>
    </row>
    <row r="191" spans="1:29" ht="12.75">
      <c r="A191" s="393"/>
      <c r="B191" s="390"/>
      <c r="C191" s="390" t="s">
        <v>452</v>
      </c>
      <c r="D191" s="390"/>
      <c r="I191" s="425"/>
      <c r="J191" s="408">
        <f>'A.PESADO'!H43</f>
        <v>0</v>
      </c>
      <c r="K191" s="425">
        <v>5</v>
      </c>
      <c r="L191" s="425">
        <f>K191*(I191+J191)</f>
        <v>0</v>
      </c>
      <c r="M191" s="467">
        <f>M187</f>
        <v>1.6666666666666665</v>
      </c>
      <c r="N191" s="467">
        <f t="shared" si="29"/>
        <v>0</v>
      </c>
      <c r="O191" s="467">
        <f>O187</f>
        <v>1.7857142857142858</v>
      </c>
      <c r="P191" s="467">
        <f t="shared" si="30"/>
        <v>0</v>
      </c>
      <c r="Q191" s="467">
        <f>Q186</f>
        <v>4.2857142857142865</v>
      </c>
      <c r="R191" s="468">
        <v>0.6111111111111112</v>
      </c>
      <c r="S191" s="467">
        <f t="shared" si="31"/>
        <v>0</v>
      </c>
      <c r="T191" s="607"/>
      <c r="U191" s="609">
        <f>S191</f>
        <v>0</v>
      </c>
      <c r="V191" s="602"/>
      <c r="W191" s="602"/>
      <c r="X191" s="580"/>
      <c r="Y191" s="602"/>
      <c r="Z191" s="603"/>
      <c r="AA191" s="76"/>
      <c r="AB191" s="76"/>
      <c r="AC191" s="76"/>
    </row>
    <row r="192" spans="1:29" ht="13.5" thickBot="1">
      <c r="A192" s="393"/>
      <c r="B192" s="390"/>
      <c r="C192" s="390"/>
      <c r="D192" s="390"/>
      <c r="I192" s="425"/>
      <c r="J192" s="408"/>
      <c r="K192" s="425"/>
      <c r="L192" s="425"/>
      <c r="M192" s="467"/>
      <c r="N192" s="467"/>
      <c r="O192" s="467"/>
      <c r="P192" s="467"/>
      <c r="Q192" s="467"/>
      <c r="R192" s="468"/>
      <c r="S192" s="456"/>
      <c r="T192" s="615"/>
      <c r="U192" s="616"/>
      <c r="V192" s="617"/>
      <c r="W192" s="617"/>
      <c r="Y192" s="602"/>
      <c r="Z192" s="603"/>
      <c r="AA192" s="76"/>
      <c r="AB192" s="76"/>
      <c r="AC192" s="76"/>
    </row>
    <row r="193" spans="1:29" ht="13.5" thickBot="1">
      <c r="A193" s="389"/>
      <c r="B193" s="388" t="s">
        <v>18</v>
      </c>
      <c r="C193" s="398"/>
      <c r="D193" s="398"/>
      <c r="E193" s="398"/>
      <c r="F193" s="398"/>
      <c r="G193" s="398"/>
      <c r="H193" s="428"/>
      <c r="I193" s="381">
        <f>SUM(I194:I199)</f>
        <v>0</v>
      </c>
      <c r="J193" s="381">
        <f>SUM(J194:J199)</f>
        <v>0</v>
      </c>
      <c r="K193" s="381"/>
      <c r="L193" s="381">
        <f>SUM(L194:L199)</f>
        <v>0</v>
      </c>
      <c r="M193" s="436">
        <f aca="true" t="shared" si="32" ref="M193:S193">SUM(M194:M199)</f>
        <v>0</v>
      </c>
      <c r="N193" s="436">
        <f t="shared" si="32"/>
        <v>0</v>
      </c>
      <c r="O193" s="436">
        <f t="shared" si="32"/>
        <v>0</v>
      </c>
      <c r="P193" s="436">
        <f t="shared" si="32"/>
        <v>0</v>
      </c>
      <c r="Q193" s="606"/>
      <c r="R193" s="606"/>
      <c r="S193" s="501">
        <f t="shared" si="32"/>
        <v>0</v>
      </c>
      <c r="T193" s="601"/>
      <c r="U193" s="602"/>
      <c r="V193" s="602"/>
      <c r="W193" s="602"/>
      <c r="X193" s="609"/>
      <c r="Y193" s="602"/>
      <c r="Z193" s="603"/>
      <c r="AA193" s="76"/>
      <c r="AB193" s="76"/>
      <c r="AC193" s="76"/>
    </row>
    <row r="194" spans="1:29" ht="12.75">
      <c r="A194" s="393">
        <v>1</v>
      </c>
      <c r="B194" s="111"/>
      <c r="C194" s="390"/>
      <c r="D194" s="390"/>
      <c r="H194" s="415"/>
      <c r="I194" s="425"/>
      <c r="J194" s="408"/>
      <c r="K194" s="425"/>
      <c r="L194" s="425">
        <f>K194*(I194+J194)</f>
        <v>0</v>
      </c>
      <c r="M194" s="467"/>
      <c r="N194" s="467"/>
      <c r="O194" s="467"/>
      <c r="P194" s="467"/>
      <c r="Q194" s="467"/>
      <c r="R194" s="467"/>
      <c r="S194" s="468"/>
      <c r="T194" s="601"/>
      <c r="U194" s="602"/>
      <c r="V194" s="602"/>
      <c r="W194" s="602"/>
      <c r="X194" s="609"/>
      <c r="Y194" s="602"/>
      <c r="Z194" s="603"/>
      <c r="AA194" s="76"/>
      <c r="AB194" s="76"/>
      <c r="AC194" s="76"/>
    </row>
    <row r="195" spans="1:29" ht="12.75">
      <c r="A195" s="393">
        <v>2</v>
      </c>
      <c r="B195" s="111"/>
      <c r="C195" s="390"/>
      <c r="D195" s="390"/>
      <c r="H195" s="415"/>
      <c r="I195" s="425"/>
      <c r="J195" s="408"/>
      <c r="K195" s="425"/>
      <c r="L195" s="425">
        <f aca="true" t="shared" si="33" ref="L195:L200">K195*(I195+J195)</f>
        <v>0</v>
      </c>
      <c r="M195" s="467"/>
      <c r="N195" s="467"/>
      <c r="O195" s="467"/>
      <c r="P195" s="467"/>
      <c r="Q195" s="467"/>
      <c r="R195" s="467"/>
      <c r="S195" s="468"/>
      <c r="T195" s="601"/>
      <c r="U195" s="602"/>
      <c r="V195" s="602"/>
      <c r="W195" s="602"/>
      <c r="X195" s="609"/>
      <c r="Y195" s="602"/>
      <c r="Z195" s="603"/>
      <c r="AA195" s="76"/>
      <c r="AB195" s="76"/>
      <c r="AC195" s="76"/>
    </row>
    <row r="196" spans="1:29" ht="12.75">
      <c r="A196" s="393">
        <v>3</v>
      </c>
      <c r="B196" s="111"/>
      <c r="C196" s="390"/>
      <c r="D196" s="390"/>
      <c r="I196" s="425"/>
      <c r="J196" s="408"/>
      <c r="K196" s="425"/>
      <c r="L196" s="425">
        <f t="shared" si="33"/>
        <v>0</v>
      </c>
      <c r="M196" s="467"/>
      <c r="N196" s="467"/>
      <c r="O196" s="467"/>
      <c r="P196" s="467"/>
      <c r="Q196" s="467"/>
      <c r="R196" s="467"/>
      <c r="S196" s="468"/>
      <c r="T196" s="601"/>
      <c r="U196" s="602"/>
      <c r="V196" s="602"/>
      <c r="W196" s="602"/>
      <c r="X196" s="609"/>
      <c r="Y196" s="602"/>
      <c r="Z196" s="603"/>
      <c r="AA196" s="76"/>
      <c r="AB196" s="76"/>
      <c r="AC196" s="76"/>
    </row>
    <row r="197" spans="1:29" ht="12.75">
      <c r="A197" s="393">
        <v>4</v>
      </c>
      <c r="B197" s="111"/>
      <c r="C197" s="390"/>
      <c r="D197" s="390"/>
      <c r="I197" s="425"/>
      <c r="J197" s="408"/>
      <c r="K197" s="425"/>
      <c r="L197" s="425">
        <f t="shared" si="33"/>
        <v>0</v>
      </c>
      <c r="M197" s="467"/>
      <c r="N197" s="467"/>
      <c r="O197" s="467"/>
      <c r="P197" s="467"/>
      <c r="Q197" s="467"/>
      <c r="R197" s="467"/>
      <c r="S197" s="468"/>
      <c r="T197" s="601"/>
      <c r="U197" s="602"/>
      <c r="V197" s="602"/>
      <c r="W197" s="602"/>
      <c r="X197" s="609"/>
      <c r="Y197" s="602"/>
      <c r="Z197" s="603"/>
      <c r="AA197" s="76"/>
      <c r="AB197" s="76"/>
      <c r="AC197" s="76"/>
    </row>
    <row r="198" spans="1:29" ht="12.75">
      <c r="A198" s="393">
        <v>5</v>
      </c>
      <c r="B198" s="111"/>
      <c r="C198" s="390"/>
      <c r="D198" s="390"/>
      <c r="I198" s="425"/>
      <c r="J198" s="408"/>
      <c r="K198" s="425"/>
      <c r="L198" s="425">
        <f t="shared" si="33"/>
        <v>0</v>
      </c>
      <c r="M198" s="467"/>
      <c r="N198" s="467"/>
      <c r="O198" s="467"/>
      <c r="P198" s="467"/>
      <c r="Q198" s="467"/>
      <c r="R198" s="467"/>
      <c r="S198" s="468"/>
      <c r="T198" s="601"/>
      <c r="U198" s="602"/>
      <c r="V198" s="602"/>
      <c r="W198" s="602"/>
      <c r="X198" s="609"/>
      <c r="Y198" s="602"/>
      <c r="Z198" s="603"/>
      <c r="AA198" s="76"/>
      <c r="AB198" s="76"/>
      <c r="AC198" s="76"/>
    </row>
    <row r="199" spans="1:29" ht="12.75">
      <c r="A199" s="393">
        <v>6</v>
      </c>
      <c r="B199" s="111"/>
      <c r="C199" s="390"/>
      <c r="D199" s="390"/>
      <c r="I199" s="425"/>
      <c r="J199" s="408"/>
      <c r="K199" s="425"/>
      <c r="L199" s="425">
        <f t="shared" si="33"/>
        <v>0</v>
      </c>
      <c r="M199" s="467"/>
      <c r="N199" s="467"/>
      <c r="O199" s="467"/>
      <c r="P199" s="467"/>
      <c r="Q199" s="467"/>
      <c r="R199" s="467"/>
      <c r="S199" s="468"/>
      <c r="T199" s="601"/>
      <c r="U199" s="602"/>
      <c r="V199" s="602"/>
      <c r="W199" s="602"/>
      <c r="X199" s="609"/>
      <c r="Y199" s="602"/>
      <c r="Z199" s="603"/>
      <c r="AA199" s="76"/>
      <c r="AB199" s="76"/>
      <c r="AC199" s="76"/>
    </row>
    <row r="200" spans="1:29" ht="13.5" thickBot="1">
      <c r="A200" s="394"/>
      <c r="B200" s="111"/>
      <c r="C200" s="390"/>
      <c r="D200" s="390"/>
      <c r="I200" s="425"/>
      <c r="J200" s="408"/>
      <c r="K200" s="425"/>
      <c r="L200" s="425">
        <f t="shared" si="33"/>
        <v>0</v>
      </c>
      <c r="M200" s="467"/>
      <c r="N200" s="467"/>
      <c r="O200" s="467"/>
      <c r="P200" s="467"/>
      <c r="Q200" s="467"/>
      <c r="R200" s="467"/>
      <c r="S200" s="468"/>
      <c r="T200" s="601"/>
      <c r="U200" s="602"/>
      <c r="V200" s="602"/>
      <c r="W200" s="602"/>
      <c r="X200" s="609"/>
      <c r="Y200" s="602"/>
      <c r="Z200" s="603"/>
      <c r="AA200" s="76"/>
      <c r="AB200" s="76"/>
      <c r="AC200" s="76"/>
    </row>
    <row r="201" spans="1:29" ht="13.5" thickBot="1">
      <c r="A201" s="389"/>
      <c r="B201" s="388" t="s">
        <v>1</v>
      </c>
      <c r="C201" s="398"/>
      <c r="D201" s="398"/>
      <c r="E201" s="398"/>
      <c r="F201" s="398"/>
      <c r="G201" s="398"/>
      <c r="H201" s="428"/>
      <c r="I201" s="381">
        <f>I58+I91+I110+I151+I171+I193</f>
        <v>0</v>
      </c>
      <c r="J201" s="381">
        <f>J58+J91+J110+J151+J171+J193</f>
        <v>0</v>
      </c>
      <c r="K201" s="381"/>
      <c r="L201" s="434">
        <f>L58+L91+L110+L151+L171+L193</f>
        <v>0</v>
      </c>
      <c r="M201" s="474">
        <f>M58+M91+M110+M151+M171+M193</f>
        <v>186.66666666666663</v>
      </c>
      <c r="N201" s="474">
        <f>N58+N91+N110+N151+N171+N193</f>
        <v>0</v>
      </c>
      <c r="O201" s="474">
        <f>O58+O91+O110+O151+O171+O193</f>
        <v>147.64285714285714</v>
      </c>
      <c r="P201" s="474">
        <f>P58+P91+P110+P151+P171+P193</f>
        <v>0</v>
      </c>
      <c r="Q201" s="493"/>
      <c r="R201" s="493"/>
      <c r="S201" s="618">
        <f>S58+S91+S110+S151+S171+S193</f>
        <v>0</v>
      </c>
      <c r="T201" s="619">
        <f>SUM(T58:T200)</f>
        <v>0</v>
      </c>
      <c r="U201" s="619">
        <f aca="true" t="shared" si="34" ref="U201:Z201">SUM(U58:U200)</f>
        <v>0</v>
      </c>
      <c r="V201" s="619">
        <f t="shared" si="34"/>
        <v>0</v>
      </c>
      <c r="W201" s="619">
        <f t="shared" si="34"/>
        <v>0</v>
      </c>
      <c r="X201" s="619">
        <f t="shared" si="34"/>
        <v>0</v>
      </c>
      <c r="Y201" s="619">
        <f t="shared" si="34"/>
        <v>0</v>
      </c>
      <c r="Z201" s="619">
        <f t="shared" si="34"/>
        <v>0</v>
      </c>
      <c r="AA201" s="76"/>
      <c r="AB201" s="76"/>
      <c r="AC201" s="76"/>
    </row>
    <row r="202" spans="14:29" ht="13.5" thickBot="1">
      <c r="N202" s="436" t="e">
        <f>N201/L201</f>
        <v>#DIV/0!</v>
      </c>
      <c r="O202" s="591"/>
      <c r="P202" s="436" t="e">
        <f>P201/L201</f>
        <v>#DIV/0!</v>
      </c>
      <c r="S202" s="606">
        <f>(-0.00002358*S201*S201)+(0.021791*S201)-0.00004758</f>
        <v>-4.758E-05</v>
      </c>
      <c r="T202" s="413" t="e">
        <f>(T201/$S$201)*100</f>
        <v>#DIV/0!</v>
      </c>
      <c r="U202" s="414" t="e">
        <f aca="true" t="shared" si="35" ref="U202:Z202">(U201/$S$201)*100</f>
        <v>#DIV/0!</v>
      </c>
      <c r="V202" s="414" t="e">
        <f t="shared" si="35"/>
        <v>#DIV/0!</v>
      </c>
      <c r="W202" s="414" t="e">
        <f t="shared" si="35"/>
        <v>#DIV/0!</v>
      </c>
      <c r="X202" s="414" t="e">
        <f t="shared" si="35"/>
        <v>#DIV/0!</v>
      </c>
      <c r="Y202" s="414" t="e">
        <f t="shared" si="35"/>
        <v>#DIV/0!</v>
      </c>
      <c r="Z202" s="620" t="e">
        <f t="shared" si="35"/>
        <v>#DIV/0!</v>
      </c>
      <c r="AA202" s="76" t="s">
        <v>134</v>
      </c>
      <c r="AB202" s="76"/>
      <c r="AC202" s="76"/>
    </row>
    <row r="203" spans="4:29" ht="12.75">
      <c r="D203" s="435"/>
      <c r="E203" s="476"/>
      <c r="F203" s="477"/>
      <c r="G203" s="476"/>
      <c r="H203" s="477"/>
      <c r="I203" s="435"/>
      <c r="J203" s="435"/>
      <c r="K203" s="435"/>
      <c r="L203" s="435"/>
      <c r="M203" s="435"/>
      <c r="N203" s="129" t="s">
        <v>136</v>
      </c>
      <c r="O203" s="129"/>
      <c r="P203" s="129" t="s">
        <v>137</v>
      </c>
      <c r="S203" s="505" t="s">
        <v>135</v>
      </c>
      <c r="T203" s="505" t="s">
        <v>128</v>
      </c>
      <c r="U203" s="505" t="s">
        <v>129</v>
      </c>
      <c r="V203" s="505" t="s">
        <v>130</v>
      </c>
      <c r="W203" s="505" t="s">
        <v>131</v>
      </c>
      <c r="X203" s="505" t="s">
        <v>132</v>
      </c>
      <c r="Y203" s="505" t="s">
        <v>133</v>
      </c>
      <c r="Z203" s="505" t="s">
        <v>28</v>
      </c>
      <c r="AA203" s="76"/>
      <c r="AB203" s="76"/>
      <c r="AC203" s="76"/>
    </row>
    <row r="204" spans="27:29" ht="12.75">
      <c r="AA204" s="76"/>
      <c r="AB204" s="76"/>
      <c r="AC204" s="76"/>
    </row>
    <row r="205" spans="27:29" ht="12.75">
      <c r="AA205" s="76"/>
      <c r="AB205" s="76"/>
      <c r="AC205" s="76"/>
    </row>
    <row r="206" spans="27:29" ht="12.75">
      <c r="AA206" s="76"/>
      <c r="AB206" s="76"/>
      <c r="AC206" s="76"/>
    </row>
    <row r="207" spans="27:29" ht="12.75">
      <c r="AA207" s="76"/>
      <c r="AB207" s="76"/>
      <c r="AC207" s="76"/>
    </row>
    <row r="208" spans="27:29" ht="12.75">
      <c r="AA208" s="76"/>
      <c r="AB208" s="76"/>
      <c r="AC208" s="76"/>
    </row>
    <row r="209" spans="27:29" ht="12.75">
      <c r="AA209" s="76"/>
      <c r="AB209" s="76"/>
      <c r="AC209" s="76"/>
    </row>
    <row r="210" spans="27:29" ht="12.75">
      <c r="AA210" s="76"/>
      <c r="AB210" s="76"/>
      <c r="AC210" s="76"/>
    </row>
    <row r="211" spans="27:29" ht="12.75">
      <c r="AA211" s="76"/>
      <c r="AB211" s="76"/>
      <c r="AC211" s="76"/>
    </row>
    <row r="212" spans="27:29" ht="12.75">
      <c r="AA212" s="76"/>
      <c r="AB212" s="76"/>
      <c r="AC212" s="76"/>
    </row>
    <row r="213" spans="27:29" ht="12.75">
      <c r="AA213" s="76"/>
      <c r="AB213" s="76"/>
      <c r="AC213" s="76"/>
    </row>
    <row r="214" spans="27:29" ht="12.75">
      <c r="AA214" s="76"/>
      <c r="AB214" s="76"/>
      <c r="AC214" s="76"/>
    </row>
  </sheetData>
  <mergeCells count="24">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I56:J56"/>
    <mergeCell ref="T56:Z56"/>
    <mergeCell ref="J28:K28"/>
    <mergeCell ref="J29:K29"/>
    <mergeCell ref="M56:N56"/>
    <mergeCell ref="O56:P56"/>
    <mergeCell ref="Q56:S56"/>
    <mergeCell ref="K56:L56"/>
  </mergeCells>
  <printOptions/>
  <pageMargins left="0.75" right="0.75" top="1" bottom="1" header="0" footer="0"/>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AB52"/>
  <sheetViews>
    <sheetView workbookViewId="0" topLeftCell="A1">
      <selection activeCell="J21" sqref="J21"/>
    </sheetView>
  </sheetViews>
  <sheetFormatPr defaultColWidth="11.421875" defaultRowHeight="12.75"/>
  <cols>
    <col min="1" max="1" width="4.140625" style="368" customWidth="1"/>
    <col min="2" max="3" width="11.421875" style="368" customWidth="1"/>
    <col min="4" max="4" width="45.7109375" style="368" customWidth="1"/>
    <col min="5" max="5" width="9.8515625" style="368" customWidth="1"/>
    <col min="6" max="6" width="10.421875" style="368" customWidth="1"/>
    <col min="7" max="7" width="9.8515625" style="368" customWidth="1"/>
    <col min="8" max="8" width="10.00390625" style="368" customWidth="1"/>
    <col min="9" max="20" width="4.7109375" style="0" customWidth="1"/>
  </cols>
  <sheetData>
    <row r="1" spans="1:8" s="13" customFormat="1" ht="18.75" thickBot="1">
      <c r="A1" s="398"/>
      <c r="B1" s="397" t="s">
        <v>41</v>
      </c>
      <c r="C1" s="398"/>
      <c r="D1" s="398"/>
      <c r="E1" s="398"/>
      <c r="F1" s="398"/>
      <c r="G1" s="398"/>
      <c r="H1" s="398"/>
    </row>
    <row r="2" spans="9:25" ht="12.75">
      <c r="I2" s="76"/>
      <c r="J2" s="76"/>
      <c r="K2" s="76"/>
      <c r="L2" s="76"/>
      <c r="M2" s="76"/>
      <c r="N2" s="76"/>
      <c r="O2" s="76"/>
      <c r="P2" s="76"/>
      <c r="Q2" s="76"/>
      <c r="R2" s="76"/>
      <c r="S2" s="76"/>
      <c r="T2" s="76"/>
      <c r="U2" s="76"/>
      <c r="V2" s="76"/>
      <c r="W2" s="76"/>
      <c r="X2" s="76"/>
      <c r="Y2" s="76"/>
    </row>
    <row r="3" spans="2:25" ht="12.75">
      <c r="B3" s="710" t="s">
        <v>240</v>
      </c>
      <c r="C3" s="710"/>
      <c r="D3" s="710"/>
      <c r="E3" s="710"/>
      <c r="F3" s="710"/>
      <c r="G3" s="710"/>
      <c r="H3" s="710"/>
      <c r="I3" s="710"/>
      <c r="J3" s="710"/>
      <c r="K3" s="710"/>
      <c r="L3" s="710"/>
      <c r="M3" s="76"/>
      <c r="N3" s="76"/>
      <c r="O3" s="76"/>
      <c r="P3" s="76"/>
      <c r="Q3" s="76"/>
      <c r="R3" s="76"/>
      <c r="S3" s="76"/>
      <c r="T3" s="76"/>
      <c r="U3" s="76"/>
      <c r="V3" s="76"/>
      <c r="W3" s="76"/>
      <c r="X3" s="76"/>
      <c r="Y3" s="76"/>
    </row>
    <row r="4" spans="2:25" ht="13.5" thickBot="1">
      <c r="B4" s="708" t="s">
        <v>243</v>
      </c>
      <c r="C4" s="709"/>
      <c r="D4" s="709"/>
      <c r="E4" s="709"/>
      <c r="F4" s="709"/>
      <c r="G4" s="709"/>
      <c r="H4" s="709"/>
      <c r="I4" s="709"/>
      <c r="J4" s="709"/>
      <c r="K4" s="709"/>
      <c r="L4" s="709"/>
      <c r="M4" s="76"/>
      <c r="N4" s="76"/>
      <c r="O4" s="76"/>
      <c r="P4" s="76"/>
      <c r="Q4" s="76"/>
      <c r="R4" s="76"/>
      <c r="S4" s="76"/>
      <c r="T4" s="76"/>
      <c r="U4" s="76"/>
      <c r="V4" s="76"/>
      <c r="W4" s="76"/>
      <c r="X4" s="76"/>
      <c r="Y4" s="76"/>
    </row>
    <row r="5" spans="2:25" ht="15">
      <c r="B5" s="709"/>
      <c r="C5" s="709"/>
      <c r="D5" s="709"/>
      <c r="E5" s="709"/>
      <c r="F5" s="709"/>
      <c r="G5" s="709"/>
      <c r="H5" s="709"/>
      <c r="I5" s="709"/>
      <c r="J5" s="709"/>
      <c r="K5" s="709"/>
      <c r="L5" s="709"/>
      <c r="M5" s="90"/>
      <c r="N5" s="90"/>
      <c r="O5" s="90"/>
      <c r="P5" s="90"/>
      <c r="Q5" s="90"/>
      <c r="R5" s="90"/>
      <c r="S5" s="90"/>
      <c r="T5" s="91"/>
      <c r="U5" s="76"/>
      <c r="V5" s="76"/>
      <c r="W5" s="76"/>
      <c r="X5" s="76"/>
      <c r="Y5" s="76"/>
    </row>
    <row r="6" spans="2:25" ht="15.75" thickBot="1">
      <c r="B6" s="555"/>
      <c r="C6" s="555"/>
      <c r="D6" s="555"/>
      <c r="E6" s="555"/>
      <c r="F6" s="555"/>
      <c r="G6" s="555"/>
      <c r="H6" s="555"/>
      <c r="I6" s="108"/>
      <c r="J6" s="108"/>
      <c r="K6" s="108"/>
      <c r="L6" s="108"/>
      <c r="M6" s="107"/>
      <c r="N6" s="107"/>
      <c r="O6" s="107"/>
      <c r="P6" s="107"/>
      <c r="Q6" s="107"/>
      <c r="R6" s="107"/>
      <c r="S6" s="107"/>
      <c r="T6" s="107"/>
      <c r="U6" s="76"/>
      <c r="V6" s="76"/>
      <c r="W6" s="76"/>
      <c r="X6" s="76"/>
      <c r="Y6" s="76"/>
    </row>
    <row r="7" spans="1:25" ht="16.5" thickBot="1">
      <c r="A7" s="391"/>
      <c r="B7" s="416" t="s">
        <v>11</v>
      </c>
      <c r="C7" s="417" t="s">
        <v>17</v>
      </c>
      <c r="D7" s="418"/>
      <c r="F7" s="731" t="s">
        <v>247</v>
      </c>
      <c r="G7" s="732"/>
      <c r="I7" s="96"/>
      <c r="J7" s="88"/>
      <c r="K7" s="88"/>
      <c r="L7" s="88"/>
      <c r="M7" s="88"/>
      <c r="N7" s="88"/>
      <c r="O7" s="707"/>
      <c r="P7" s="707"/>
      <c r="Q7" s="707"/>
      <c r="R7" s="707"/>
      <c r="S7" s="707"/>
      <c r="T7" s="707"/>
      <c r="U7" s="76"/>
      <c r="V7" s="76"/>
      <c r="W7" s="76"/>
      <c r="X7" s="76"/>
      <c r="Y7" s="76"/>
    </row>
    <row r="8" spans="1:25" ht="13.5" thickBot="1">
      <c r="A8" s="389"/>
      <c r="B8" s="398"/>
      <c r="C8" s="398"/>
      <c r="D8" s="398"/>
      <c r="E8" s="479" t="s">
        <v>166</v>
      </c>
      <c r="F8" s="479" t="s">
        <v>246</v>
      </c>
      <c r="G8" s="479" t="s">
        <v>245</v>
      </c>
      <c r="I8" s="97"/>
      <c r="J8" s="78"/>
      <c r="K8" s="78"/>
      <c r="L8" s="78"/>
      <c r="M8" s="78"/>
      <c r="N8" s="78"/>
      <c r="O8" s="78"/>
      <c r="P8" s="78"/>
      <c r="Q8" s="78"/>
      <c r="R8" s="78"/>
      <c r="S8" s="78"/>
      <c r="T8" s="78"/>
      <c r="U8" s="76"/>
      <c r="V8" s="76"/>
      <c r="W8" s="76"/>
      <c r="X8" s="76"/>
      <c r="Y8" s="76"/>
    </row>
    <row r="9" spans="1:25" ht="13.5" thickBot="1">
      <c r="A9" s="392"/>
      <c r="B9" s="421" t="s">
        <v>12</v>
      </c>
      <c r="C9" s="422"/>
      <c r="D9" s="422"/>
      <c r="E9" s="526">
        <f>'CUARTEL GENERAL'!H107</f>
        <v>0</v>
      </c>
      <c r="F9" s="527">
        <f>'CUARTEL GENERAL'!H108</f>
        <v>0</v>
      </c>
      <c r="G9" s="527">
        <f>'CUARTEL GENERAL'!H109</f>
        <v>0</v>
      </c>
      <c r="I9" s="98"/>
      <c r="J9" s="89"/>
      <c r="K9" s="89"/>
      <c r="L9" s="89"/>
      <c r="M9" s="89"/>
      <c r="N9" s="89"/>
      <c r="O9" s="89"/>
      <c r="P9" s="89"/>
      <c r="Q9" s="89"/>
      <c r="R9" s="89"/>
      <c r="S9" s="89"/>
      <c r="T9" s="89"/>
      <c r="U9" s="76"/>
      <c r="V9" s="76"/>
      <c r="W9" s="76"/>
      <c r="X9" s="76"/>
      <c r="Y9" s="76"/>
    </row>
    <row r="10" spans="1:25" ht="13.5" thickBot="1">
      <c r="A10" s="391"/>
      <c r="B10" s="529" t="s">
        <v>471</v>
      </c>
      <c r="C10" s="398"/>
      <c r="D10" s="398"/>
      <c r="E10" s="530">
        <f>LINEA!H33</f>
        <v>0</v>
      </c>
      <c r="F10" s="531">
        <f>LINEA!H34</f>
        <v>0</v>
      </c>
      <c r="G10" s="531">
        <f>LINEA!H35</f>
        <v>0</v>
      </c>
      <c r="I10" s="100"/>
      <c r="J10" s="89"/>
      <c r="K10" s="89"/>
      <c r="L10" s="89"/>
      <c r="M10" s="89"/>
      <c r="N10" s="89"/>
      <c r="O10" s="89"/>
      <c r="P10" s="89"/>
      <c r="Q10" s="89"/>
      <c r="R10" s="89"/>
      <c r="S10" s="89"/>
      <c r="T10" s="89"/>
      <c r="U10" s="76"/>
      <c r="V10" s="76"/>
      <c r="W10" s="76"/>
      <c r="X10" s="76"/>
      <c r="Y10" s="76"/>
    </row>
    <row r="11" spans="1:25" ht="13.5" thickBot="1">
      <c r="A11" s="389"/>
      <c r="B11" s="388" t="s">
        <v>14</v>
      </c>
      <c r="C11" s="398"/>
      <c r="D11" s="398"/>
      <c r="E11" s="530">
        <f>ELITE!H91</f>
        <v>0</v>
      </c>
      <c r="F11" s="531">
        <f>ELITE!H92</f>
        <v>0</v>
      </c>
      <c r="G11" s="531">
        <f>ELITE!H93</f>
        <v>0</v>
      </c>
      <c r="I11" s="101"/>
      <c r="J11" s="78"/>
      <c r="K11" s="78"/>
      <c r="L11" s="78"/>
      <c r="M11" s="78"/>
      <c r="N11" s="78"/>
      <c r="O11" s="78"/>
      <c r="P11" s="78"/>
      <c r="Q11" s="78"/>
      <c r="R11" s="78"/>
      <c r="S11" s="78"/>
      <c r="T11" s="78"/>
      <c r="U11" s="76"/>
      <c r="V11" s="76"/>
      <c r="W11" s="76"/>
      <c r="X11" s="76"/>
      <c r="Y11" s="76"/>
    </row>
    <row r="12" spans="1:25" ht="13.5" thickBot="1">
      <c r="A12" s="395"/>
      <c r="B12" s="388" t="s">
        <v>15</v>
      </c>
      <c r="C12" s="388"/>
      <c r="D12" s="398"/>
      <c r="E12" s="530">
        <f>'A.RAPIDO'!H37</f>
        <v>0</v>
      </c>
      <c r="F12" s="531">
        <f>'A.RAPIDO'!H38</f>
        <v>0</v>
      </c>
      <c r="G12" s="531">
        <f>'A.RAPIDO'!H39</f>
        <v>0</v>
      </c>
      <c r="I12" s="101"/>
      <c r="J12" s="78"/>
      <c r="K12" s="78"/>
      <c r="L12" s="78"/>
      <c r="M12" s="78"/>
      <c r="N12" s="78"/>
      <c r="O12" s="78"/>
      <c r="P12" s="78"/>
      <c r="Q12" s="78"/>
      <c r="R12" s="78"/>
      <c r="S12" s="78"/>
      <c r="T12" s="78"/>
      <c r="U12" s="76"/>
      <c r="V12" s="76"/>
      <c r="W12" s="76"/>
      <c r="X12" s="76"/>
      <c r="Y12" s="76"/>
    </row>
    <row r="13" spans="1:28" ht="13.5" thickBot="1">
      <c r="A13" s="389"/>
      <c r="B13" s="388" t="s">
        <v>16</v>
      </c>
      <c r="C13" s="398"/>
      <c r="D13" s="398"/>
      <c r="E13" s="530">
        <f>'A.PESADO'!H47</f>
        <v>0</v>
      </c>
      <c r="F13" s="531">
        <f>'A.PESADO'!H48</f>
        <v>0</v>
      </c>
      <c r="G13" s="531">
        <f>'A.PESADO'!H49</f>
        <v>0</v>
      </c>
      <c r="I13" s="101"/>
      <c r="J13" s="78"/>
      <c r="K13" s="78"/>
      <c r="L13" s="78"/>
      <c r="M13" s="78"/>
      <c r="N13" s="78"/>
      <c r="O13" s="78"/>
      <c r="P13" s="78"/>
      <c r="Q13" s="78"/>
      <c r="R13" s="78"/>
      <c r="S13" s="78"/>
      <c r="T13" s="78"/>
      <c r="U13" s="76"/>
      <c r="V13" s="76"/>
      <c r="W13" s="87"/>
      <c r="X13" s="83"/>
      <c r="Y13" s="77"/>
      <c r="Z13" s="16"/>
      <c r="AA13" s="16"/>
      <c r="AB13" s="14"/>
    </row>
    <row r="14" spans="1:28" ht="13.5" thickBot="1">
      <c r="A14" s="389"/>
      <c r="B14" s="388" t="s">
        <v>18</v>
      </c>
      <c r="C14" s="398"/>
      <c r="D14" s="398"/>
      <c r="E14" s="530">
        <f>SUM(E15:E20)</f>
        <v>0</v>
      </c>
      <c r="F14" s="531">
        <f>SUM(F15:F20)</f>
        <v>0</v>
      </c>
      <c r="G14" s="531">
        <f>SUM(G15:G20)</f>
        <v>0</v>
      </c>
      <c r="I14" s="100"/>
      <c r="J14" s="89"/>
      <c r="K14" s="89"/>
      <c r="L14" s="89"/>
      <c r="M14" s="89"/>
      <c r="N14" s="89"/>
      <c r="O14" s="89"/>
      <c r="P14" s="89"/>
      <c r="Q14" s="89"/>
      <c r="R14" s="89"/>
      <c r="S14" s="89"/>
      <c r="T14" s="89"/>
      <c r="U14" s="76"/>
      <c r="V14" s="76"/>
      <c r="W14" s="85"/>
      <c r="X14" s="85"/>
      <c r="Y14" s="79"/>
      <c r="Z14" s="30"/>
      <c r="AA14" s="16"/>
      <c r="AB14" s="14"/>
    </row>
    <row r="15" spans="1:28" ht="12.75">
      <c r="A15" s="393"/>
      <c r="B15" s="111"/>
      <c r="C15" s="390"/>
      <c r="D15" s="390"/>
      <c r="E15" s="533"/>
      <c r="F15" s="534"/>
      <c r="G15" s="534"/>
      <c r="I15" s="99"/>
      <c r="J15" s="79"/>
      <c r="K15" s="79"/>
      <c r="L15" s="79"/>
      <c r="M15" s="79"/>
      <c r="N15" s="79"/>
      <c r="O15" s="79"/>
      <c r="P15" s="79"/>
      <c r="Q15" s="79"/>
      <c r="R15" s="79"/>
      <c r="S15" s="79"/>
      <c r="T15" s="79"/>
      <c r="U15" s="76"/>
      <c r="V15" s="76"/>
      <c r="W15" s="85"/>
      <c r="X15" s="85"/>
      <c r="Y15" s="79"/>
      <c r="Z15" s="30"/>
      <c r="AA15" s="16"/>
      <c r="AB15" s="14"/>
    </row>
    <row r="16" spans="1:28" ht="12.75">
      <c r="A16" s="393"/>
      <c r="B16" s="111"/>
      <c r="C16" s="390"/>
      <c r="D16" s="390"/>
      <c r="E16" s="533"/>
      <c r="F16" s="534"/>
      <c r="G16" s="534"/>
      <c r="I16" s="99"/>
      <c r="J16" s="79"/>
      <c r="K16" s="79"/>
      <c r="L16" s="79"/>
      <c r="M16" s="79"/>
      <c r="N16" s="79"/>
      <c r="O16" s="79"/>
      <c r="P16" s="79"/>
      <c r="Q16" s="79"/>
      <c r="R16" s="79"/>
      <c r="S16" s="79"/>
      <c r="T16" s="79"/>
      <c r="U16" s="76"/>
      <c r="V16" s="76"/>
      <c r="W16" s="85"/>
      <c r="X16" s="85"/>
      <c r="Y16" s="79"/>
      <c r="Z16" s="30"/>
      <c r="AA16" s="16"/>
      <c r="AB16" s="14"/>
    </row>
    <row r="17" spans="1:28" ht="12.75">
      <c r="A17" s="393"/>
      <c r="B17" s="111"/>
      <c r="C17" s="390"/>
      <c r="D17" s="390"/>
      <c r="E17" s="533"/>
      <c r="F17" s="534"/>
      <c r="G17" s="534"/>
      <c r="I17" s="99"/>
      <c r="J17" s="79"/>
      <c r="K17" s="79"/>
      <c r="L17" s="79"/>
      <c r="M17" s="79"/>
      <c r="N17" s="79"/>
      <c r="O17" s="79"/>
      <c r="P17" s="79"/>
      <c r="Q17" s="79"/>
      <c r="R17" s="79"/>
      <c r="S17" s="79"/>
      <c r="T17" s="79"/>
      <c r="U17" s="76"/>
      <c r="V17" s="76"/>
      <c r="W17" s="85"/>
      <c r="X17" s="85"/>
      <c r="Y17" s="79"/>
      <c r="Z17" s="30"/>
      <c r="AA17" s="16"/>
      <c r="AB17" s="14"/>
    </row>
    <row r="18" spans="1:28" ht="12.75">
      <c r="A18" s="393"/>
      <c r="B18" s="111"/>
      <c r="C18" s="390"/>
      <c r="D18" s="390"/>
      <c r="E18" s="533"/>
      <c r="F18" s="534"/>
      <c r="G18" s="534"/>
      <c r="I18" s="99"/>
      <c r="J18" s="79"/>
      <c r="K18" s="79"/>
      <c r="L18" s="79"/>
      <c r="M18" s="79"/>
      <c r="N18" s="79"/>
      <c r="O18" s="79"/>
      <c r="P18" s="79"/>
      <c r="Q18" s="79"/>
      <c r="R18" s="79"/>
      <c r="S18" s="79"/>
      <c r="T18" s="79"/>
      <c r="U18" s="76"/>
      <c r="V18" s="76"/>
      <c r="W18" s="77"/>
      <c r="X18" s="77"/>
      <c r="Y18" s="79"/>
      <c r="Z18" s="30"/>
      <c r="AA18" s="16"/>
      <c r="AB18" s="14"/>
    </row>
    <row r="19" spans="1:28" ht="12.75">
      <c r="A19" s="393"/>
      <c r="B19" s="111"/>
      <c r="C19" s="390"/>
      <c r="D19" s="390"/>
      <c r="E19" s="533"/>
      <c r="F19" s="534"/>
      <c r="G19" s="534"/>
      <c r="I19" s="99"/>
      <c r="J19" s="79"/>
      <c r="K19" s="79"/>
      <c r="L19" s="79"/>
      <c r="M19" s="79"/>
      <c r="N19" s="79"/>
      <c r="O19" s="79"/>
      <c r="P19" s="79"/>
      <c r="Q19" s="79"/>
      <c r="R19" s="79"/>
      <c r="S19" s="79"/>
      <c r="T19" s="79"/>
      <c r="U19" s="76"/>
      <c r="V19" s="76"/>
      <c r="W19" s="77"/>
      <c r="X19" s="77"/>
      <c r="Y19" s="77"/>
      <c r="Z19" s="16"/>
      <c r="AA19" s="16"/>
      <c r="AB19" s="14"/>
    </row>
    <row r="20" spans="1:28" ht="12.75">
      <c r="A20" s="393"/>
      <c r="B20" s="111"/>
      <c r="C20" s="390"/>
      <c r="D20" s="390"/>
      <c r="E20" s="533"/>
      <c r="F20" s="534"/>
      <c r="G20" s="534"/>
      <c r="I20" s="99"/>
      <c r="J20" s="79"/>
      <c r="K20" s="79"/>
      <c r="L20" s="79"/>
      <c r="M20" s="79"/>
      <c r="N20" s="79"/>
      <c r="O20" s="79"/>
      <c r="P20" s="79"/>
      <c r="Q20" s="79"/>
      <c r="R20" s="79"/>
      <c r="S20" s="79"/>
      <c r="T20" s="79"/>
      <c r="U20" s="76"/>
      <c r="V20" s="76"/>
      <c r="W20" s="77"/>
      <c r="X20" s="77"/>
      <c r="Y20" s="77"/>
      <c r="Z20" s="16"/>
      <c r="AA20" s="16"/>
      <c r="AB20" s="14"/>
    </row>
    <row r="21" spans="1:28" ht="13.5" thickBot="1">
      <c r="A21" s="394"/>
      <c r="B21" s="111"/>
      <c r="C21" s="390"/>
      <c r="D21" s="390"/>
      <c r="E21" s="536"/>
      <c r="F21" s="537"/>
      <c r="G21" s="537"/>
      <c r="I21" s="102"/>
      <c r="J21" s="79"/>
      <c r="K21" s="79"/>
      <c r="L21" s="79"/>
      <c r="M21" s="79"/>
      <c r="N21" s="79"/>
      <c r="O21" s="79"/>
      <c r="P21" s="79"/>
      <c r="Q21" s="79"/>
      <c r="R21" s="79"/>
      <c r="S21" s="79"/>
      <c r="T21" s="79"/>
      <c r="U21" s="76"/>
      <c r="V21" s="76"/>
      <c r="W21" s="77"/>
      <c r="X21" s="77"/>
      <c r="Y21" s="77"/>
      <c r="Z21" s="16"/>
      <c r="AA21" s="16"/>
      <c r="AB21" s="14"/>
    </row>
    <row r="22" spans="1:28" ht="13.5" thickBot="1">
      <c r="A22" s="389"/>
      <c r="B22" s="388" t="s">
        <v>1</v>
      </c>
      <c r="C22" s="398"/>
      <c r="D22" s="398"/>
      <c r="E22" s="381">
        <f>E9+E10+E11+E12+E13+E14</f>
        <v>0</v>
      </c>
      <c r="F22" s="381">
        <f>F9+F10+F11+F12+F13+F14</f>
        <v>0</v>
      </c>
      <c r="G22" s="381">
        <f>G9+G10+G11+G12+G13+G14</f>
        <v>0</v>
      </c>
      <c r="I22" s="103"/>
      <c r="J22" s="78"/>
      <c r="K22" s="78"/>
      <c r="L22" s="78"/>
      <c r="M22" s="78"/>
      <c r="N22" s="78"/>
      <c r="O22" s="78"/>
      <c r="P22" s="78"/>
      <c r="Q22" s="78"/>
      <c r="R22" s="78"/>
      <c r="S22" s="78"/>
      <c r="T22" s="78"/>
      <c r="U22" s="76"/>
      <c r="V22" s="76"/>
      <c r="W22" s="77"/>
      <c r="X22" s="77"/>
      <c r="Y22" s="77"/>
      <c r="Z22" s="16"/>
      <c r="AA22" s="16"/>
      <c r="AB22" s="14"/>
    </row>
    <row r="23" spans="1:28" ht="13.5" thickBot="1">
      <c r="A23" s="389"/>
      <c r="B23" s="388" t="s">
        <v>116</v>
      </c>
      <c r="C23" s="398"/>
      <c r="D23" s="398"/>
      <c r="E23" s="420">
        <f>E22*0.5</f>
        <v>0</v>
      </c>
      <c r="F23" s="420">
        <f>F22*2</f>
        <v>0</v>
      </c>
      <c r="G23" s="420">
        <f>G22*2</f>
        <v>0</v>
      </c>
      <c r="I23" s="104"/>
      <c r="J23" s="79"/>
      <c r="K23" s="79"/>
      <c r="L23" s="79"/>
      <c r="M23" s="79"/>
      <c r="N23" s="79"/>
      <c r="O23" s="79"/>
      <c r="P23" s="79"/>
      <c r="Q23" s="79"/>
      <c r="R23" s="79"/>
      <c r="S23" s="79"/>
      <c r="T23" s="79"/>
      <c r="U23" s="76"/>
      <c r="V23" s="76"/>
      <c r="W23" s="77"/>
      <c r="X23" s="77"/>
      <c r="Y23" s="77"/>
      <c r="Z23" s="16"/>
      <c r="AA23" s="16"/>
      <c r="AB23" s="14"/>
    </row>
    <row r="24" spans="1:28" ht="12.75" customHeight="1">
      <c r="A24" s="711" t="s">
        <v>241</v>
      </c>
      <c r="B24" s="712"/>
      <c r="C24" s="712"/>
      <c r="D24" s="713"/>
      <c r="E24" s="693">
        <f>(E22-15)/17</f>
        <v>-0.8823529411764706</v>
      </c>
      <c r="F24" s="712"/>
      <c r="G24" s="693"/>
      <c r="H24" s="712"/>
      <c r="I24" s="105"/>
      <c r="J24" s="92"/>
      <c r="K24" s="92"/>
      <c r="L24" s="92"/>
      <c r="M24" s="92"/>
      <c r="N24" s="92"/>
      <c r="O24" s="92"/>
      <c r="P24" s="92"/>
      <c r="Q24" s="92"/>
      <c r="R24" s="92"/>
      <c r="S24" s="92"/>
      <c r="T24" s="93"/>
      <c r="U24" s="76"/>
      <c r="V24" s="76"/>
      <c r="W24" s="77"/>
      <c r="X24" s="77"/>
      <c r="Y24" s="77"/>
      <c r="Z24" s="16"/>
      <c r="AA24" s="16"/>
      <c r="AB24" s="14"/>
    </row>
    <row r="25" spans="1:28" ht="13.5" customHeight="1" thickBot="1">
      <c r="A25" s="690"/>
      <c r="B25" s="691"/>
      <c r="C25" s="691"/>
      <c r="D25" s="692"/>
      <c r="E25" s="690"/>
      <c r="F25" s="691"/>
      <c r="G25" s="690"/>
      <c r="H25" s="691"/>
      <c r="I25" s="106"/>
      <c r="J25" s="94"/>
      <c r="K25" s="94"/>
      <c r="L25" s="94"/>
      <c r="M25" s="94"/>
      <c r="N25" s="94"/>
      <c r="O25" s="94"/>
      <c r="P25" s="94"/>
      <c r="Q25" s="94"/>
      <c r="R25" s="94"/>
      <c r="S25" s="94"/>
      <c r="T25" s="95"/>
      <c r="U25" s="76"/>
      <c r="V25" s="76"/>
      <c r="W25" s="77"/>
      <c r="X25" s="77"/>
      <c r="Y25" s="77"/>
      <c r="Z25" s="16"/>
      <c r="AA25" s="16"/>
      <c r="AB25" s="14"/>
    </row>
    <row r="26" spans="1:28" ht="13.5" customHeight="1" thickBot="1">
      <c r="A26" s="567"/>
      <c r="B26" s="410"/>
      <c r="C26" s="410"/>
      <c r="D26" s="409"/>
      <c r="E26" s="369"/>
      <c r="F26" s="370"/>
      <c r="G26" s="369"/>
      <c r="H26" s="370"/>
      <c r="I26" s="88"/>
      <c r="J26" s="92"/>
      <c r="K26" s="92"/>
      <c r="L26" s="92"/>
      <c r="M26" s="92"/>
      <c r="N26" s="92"/>
      <c r="O26" s="92"/>
      <c r="P26" s="92"/>
      <c r="Q26" s="92"/>
      <c r="R26" s="92"/>
      <c r="S26" s="92"/>
      <c r="T26" s="92"/>
      <c r="U26" s="76"/>
      <c r="V26" s="76"/>
      <c r="W26" s="77"/>
      <c r="X26" s="77"/>
      <c r="Y26" s="77"/>
      <c r="Z26" s="16"/>
      <c r="AA26" s="16"/>
      <c r="AB26" s="14"/>
    </row>
    <row r="27" spans="1:28" ht="13.5" customHeight="1" thickBot="1">
      <c r="A27" s="567"/>
      <c r="B27" s="410"/>
      <c r="C27" s="410"/>
      <c r="D27" s="409"/>
      <c r="E27" s="720" t="s">
        <v>246</v>
      </c>
      <c r="F27" s="694"/>
      <c r="G27" s="720" t="s">
        <v>245</v>
      </c>
      <c r="H27" s="695"/>
      <c r="I27" s="88"/>
      <c r="J27" s="92"/>
      <c r="K27" s="92"/>
      <c r="L27" s="92"/>
      <c r="M27" s="92"/>
      <c r="N27" s="92"/>
      <c r="O27" s="92"/>
      <c r="P27" s="92"/>
      <c r="Q27" s="92"/>
      <c r="R27" s="92"/>
      <c r="S27" s="92"/>
      <c r="T27" s="92"/>
      <c r="U27" s="76"/>
      <c r="V27" s="76"/>
      <c r="W27" s="77"/>
      <c r="X27" s="77"/>
      <c r="Y27" s="77"/>
      <c r="Z27" s="16"/>
      <c r="AA27" s="16"/>
      <c r="AB27" s="14"/>
    </row>
    <row r="28" spans="1:28" ht="12.75">
      <c r="A28" s="711" t="s">
        <v>242</v>
      </c>
      <c r="B28" s="712"/>
      <c r="C28" s="712"/>
      <c r="D28" s="713"/>
      <c r="E28" s="693">
        <f>(F22-3)/2.6</f>
        <v>-1.1538461538461537</v>
      </c>
      <c r="F28" s="712"/>
      <c r="G28" s="693">
        <f>(G22-3)/2.6</f>
        <v>-1.1538461538461537</v>
      </c>
      <c r="H28" s="712"/>
      <c r="I28" s="76"/>
      <c r="J28" s="76"/>
      <c r="K28" s="76"/>
      <c r="L28" s="76"/>
      <c r="M28" s="76"/>
      <c r="N28" s="76"/>
      <c r="O28" s="76"/>
      <c r="P28" s="76"/>
      <c r="Q28" s="76"/>
      <c r="R28" s="76"/>
      <c r="S28" s="76"/>
      <c r="T28" s="76"/>
      <c r="U28" s="82"/>
      <c r="V28" s="77"/>
      <c r="W28" s="77"/>
      <c r="X28" s="83"/>
      <c r="Y28" s="77"/>
      <c r="Z28" s="16"/>
      <c r="AA28" s="75"/>
      <c r="AB28" s="14"/>
    </row>
    <row r="29" spans="1:28" ht="19.5" thickBot="1">
      <c r="A29" s="690"/>
      <c r="B29" s="691"/>
      <c r="C29" s="691"/>
      <c r="D29" s="692"/>
      <c r="E29" s="690"/>
      <c r="F29" s="691"/>
      <c r="G29" s="690"/>
      <c r="H29" s="691"/>
      <c r="I29" s="76"/>
      <c r="J29" s="76"/>
      <c r="K29" s="76"/>
      <c r="L29" s="76"/>
      <c r="M29" s="76"/>
      <c r="N29" s="76"/>
      <c r="O29" s="76"/>
      <c r="P29" s="76"/>
      <c r="Q29" s="76"/>
      <c r="R29" s="76"/>
      <c r="S29" s="76"/>
      <c r="T29" s="76"/>
      <c r="U29" s="85"/>
      <c r="V29" s="86"/>
      <c r="W29" s="86"/>
      <c r="X29" s="85"/>
      <c r="Y29" s="86"/>
      <c r="Z29" s="15"/>
      <c r="AA29" s="16"/>
      <c r="AB29" s="14"/>
    </row>
    <row r="30" spans="9:28" ht="12.75">
      <c r="I30" s="76"/>
      <c r="J30" s="76"/>
      <c r="K30" s="76"/>
      <c r="L30" s="76"/>
      <c r="M30" s="76"/>
      <c r="N30" s="76"/>
      <c r="O30" s="76"/>
      <c r="P30" s="76"/>
      <c r="Q30" s="76"/>
      <c r="R30" s="76"/>
      <c r="S30" s="76"/>
      <c r="T30" s="76"/>
      <c r="U30" s="85"/>
      <c r="V30" s="79"/>
      <c r="W30" s="79"/>
      <c r="X30" s="85"/>
      <c r="Y30" s="79"/>
      <c r="Z30" s="30"/>
      <c r="AA30" s="16"/>
      <c r="AB30" s="14"/>
    </row>
    <row r="31" spans="9:28" ht="12.75">
      <c r="I31" s="76"/>
      <c r="J31" s="76"/>
      <c r="K31" s="76"/>
      <c r="L31" s="76"/>
      <c r="M31" s="76"/>
      <c r="N31" s="76"/>
      <c r="O31" s="76"/>
      <c r="P31" s="76"/>
      <c r="Q31" s="76"/>
      <c r="R31" s="76"/>
      <c r="S31" s="76"/>
      <c r="T31" s="76"/>
      <c r="U31" s="85"/>
      <c r="V31" s="79"/>
      <c r="W31" s="79"/>
      <c r="X31" s="85"/>
      <c r="Y31" s="79"/>
      <c r="Z31" s="30"/>
      <c r="AA31" s="16"/>
      <c r="AB31" s="14"/>
    </row>
    <row r="32" spans="9:28" ht="12.75">
      <c r="I32" s="76"/>
      <c r="J32" s="76"/>
      <c r="K32" s="76"/>
      <c r="L32" s="76"/>
      <c r="M32" s="76"/>
      <c r="N32" s="76"/>
      <c r="O32" s="76"/>
      <c r="P32" s="76"/>
      <c r="Q32" s="76"/>
      <c r="R32" s="76"/>
      <c r="S32" s="76"/>
      <c r="T32" s="76"/>
      <c r="U32" s="85"/>
      <c r="V32" s="79"/>
      <c r="W32" s="79"/>
      <c r="X32" s="85"/>
      <c r="Y32" s="79"/>
      <c r="Z32" s="30"/>
      <c r="AA32" s="16"/>
      <c r="AB32" s="14"/>
    </row>
    <row r="33" spans="9:28" ht="12.75">
      <c r="I33" s="76"/>
      <c r="J33" s="76"/>
      <c r="K33" s="76"/>
      <c r="L33" s="76"/>
      <c r="M33" s="76"/>
      <c r="N33" s="76"/>
      <c r="O33" s="76"/>
      <c r="P33" s="76"/>
      <c r="Q33" s="76"/>
      <c r="R33" s="76"/>
      <c r="S33" s="76"/>
      <c r="T33" s="76"/>
      <c r="U33" s="85"/>
      <c r="V33" s="79"/>
      <c r="W33" s="79"/>
      <c r="X33" s="85"/>
      <c r="Y33" s="79"/>
      <c r="Z33" s="30"/>
      <c r="AA33" s="16"/>
      <c r="AB33" s="14"/>
    </row>
    <row r="34" spans="9:28" ht="12.75">
      <c r="I34" s="76"/>
      <c r="J34" s="76"/>
      <c r="K34" s="76"/>
      <c r="L34" s="76"/>
      <c r="M34" s="76"/>
      <c r="N34" s="76"/>
      <c r="O34" s="76"/>
      <c r="P34" s="76"/>
      <c r="Q34" s="76"/>
      <c r="R34" s="76"/>
      <c r="S34" s="76"/>
      <c r="T34" s="76"/>
      <c r="U34" s="85"/>
      <c r="V34" s="79"/>
      <c r="W34" s="79"/>
      <c r="X34" s="85"/>
      <c r="Y34" s="79"/>
      <c r="Z34" s="30"/>
      <c r="AA34" s="16"/>
      <c r="AB34" s="14"/>
    </row>
    <row r="35" spans="9:28" ht="12.75">
      <c r="I35" s="76"/>
      <c r="J35" s="76"/>
      <c r="K35" s="76"/>
      <c r="L35" s="76"/>
      <c r="M35" s="76"/>
      <c r="N35" s="76"/>
      <c r="O35" s="76"/>
      <c r="P35" s="76"/>
      <c r="Q35" s="76"/>
      <c r="R35" s="76"/>
      <c r="S35" s="76"/>
      <c r="T35" s="76"/>
      <c r="U35" s="85"/>
      <c r="V35" s="79"/>
      <c r="W35" s="79"/>
      <c r="X35" s="85"/>
      <c r="Y35" s="79"/>
      <c r="Z35" s="30"/>
      <c r="AA35" s="16"/>
      <c r="AB35" s="14"/>
    </row>
    <row r="36" spans="9:28" ht="12.75">
      <c r="I36" s="76"/>
      <c r="J36" s="76"/>
      <c r="K36" s="76"/>
      <c r="L36" s="76"/>
      <c r="M36" s="76"/>
      <c r="N36" s="76"/>
      <c r="O36" s="76"/>
      <c r="P36" s="76"/>
      <c r="Q36" s="76"/>
      <c r="R36" s="76"/>
      <c r="S36" s="76"/>
      <c r="T36" s="76"/>
      <c r="U36" s="77"/>
      <c r="V36" s="79"/>
      <c r="W36" s="79"/>
      <c r="X36" s="77"/>
      <c r="Y36" s="79"/>
      <c r="Z36" s="30"/>
      <c r="AA36" s="17"/>
      <c r="AB36" s="14"/>
    </row>
    <row r="37" spans="9:28" ht="12.75">
      <c r="I37" s="76"/>
      <c r="J37" s="76"/>
      <c r="K37" s="76"/>
      <c r="L37" s="76"/>
      <c r="M37" s="76"/>
      <c r="N37" s="76"/>
      <c r="O37" s="76"/>
      <c r="P37" s="76"/>
      <c r="Q37" s="76"/>
      <c r="R37" s="76"/>
      <c r="S37" s="76"/>
      <c r="T37" s="76"/>
      <c r="U37" s="77"/>
      <c r="V37" s="77"/>
      <c r="W37" s="76"/>
      <c r="X37" s="76"/>
      <c r="Y37" s="76"/>
      <c r="Z37" s="14"/>
      <c r="AA37" s="14"/>
      <c r="AB37" s="14"/>
    </row>
    <row r="38" spans="9:25" ht="12.75">
      <c r="I38" s="76"/>
      <c r="J38" s="76"/>
      <c r="K38" s="76"/>
      <c r="L38" s="76"/>
      <c r="M38" s="76"/>
      <c r="N38" s="76"/>
      <c r="O38" s="76"/>
      <c r="P38" s="76"/>
      <c r="Q38" s="76"/>
      <c r="R38" s="76"/>
      <c r="S38" s="76"/>
      <c r="T38" s="76"/>
      <c r="U38" s="77"/>
      <c r="V38" s="77"/>
      <c r="W38" s="76"/>
      <c r="X38" s="76"/>
      <c r="Y38" s="76"/>
    </row>
    <row r="39" spans="9:25" ht="12.75">
      <c r="I39" s="76"/>
      <c r="J39" s="76"/>
      <c r="K39" s="76"/>
      <c r="L39" s="76"/>
      <c r="M39" s="76"/>
      <c r="N39" s="76"/>
      <c r="O39" s="76"/>
      <c r="P39" s="76"/>
      <c r="Q39" s="76"/>
      <c r="R39" s="76"/>
      <c r="S39" s="76"/>
      <c r="T39" s="76"/>
      <c r="U39" s="77"/>
      <c r="V39" s="77"/>
      <c r="W39" s="76"/>
      <c r="X39" s="76"/>
      <c r="Y39" s="76"/>
    </row>
    <row r="40" spans="9:25" ht="12.75">
      <c r="I40" s="76"/>
      <c r="J40" s="76"/>
      <c r="K40" s="76"/>
      <c r="L40" s="76"/>
      <c r="M40" s="76"/>
      <c r="N40" s="76"/>
      <c r="O40" s="76"/>
      <c r="P40" s="76"/>
      <c r="Q40" s="76"/>
      <c r="R40" s="76"/>
      <c r="S40" s="76"/>
      <c r="T40" s="76"/>
      <c r="U40" s="76"/>
      <c r="V40" s="76"/>
      <c r="W40" s="76"/>
      <c r="X40" s="76"/>
      <c r="Y40" s="76"/>
    </row>
    <row r="41" spans="9:25" ht="12.75">
      <c r="I41" s="76"/>
      <c r="J41" s="76"/>
      <c r="K41" s="76"/>
      <c r="L41" s="76"/>
      <c r="M41" s="76"/>
      <c r="N41" s="76"/>
      <c r="O41" s="76"/>
      <c r="P41" s="76"/>
      <c r="Q41" s="76"/>
      <c r="R41" s="76"/>
      <c r="S41" s="76"/>
      <c r="T41" s="76"/>
      <c r="U41" s="76"/>
      <c r="V41" s="76"/>
      <c r="W41" s="76"/>
      <c r="X41" s="76"/>
      <c r="Y41" s="76"/>
    </row>
    <row r="42" spans="9:25" ht="12.75">
      <c r="I42" s="76"/>
      <c r="J42" s="76"/>
      <c r="K42" s="76"/>
      <c r="L42" s="76"/>
      <c r="M42" s="76"/>
      <c r="N42" s="76"/>
      <c r="O42" s="76"/>
      <c r="P42" s="76"/>
      <c r="Q42" s="76"/>
      <c r="R42" s="76"/>
      <c r="S42" s="76"/>
      <c r="T42" s="76"/>
      <c r="U42" s="76"/>
      <c r="V42" s="76"/>
      <c r="W42" s="76"/>
      <c r="X42" s="76"/>
      <c r="Y42" s="76"/>
    </row>
    <row r="43" spans="9:25" ht="12.75">
      <c r="I43" s="76"/>
      <c r="J43" s="76"/>
      <c r="K43" s="76"/>
      <c r="L43" s="76"/>
      <c r="M43" s="76"/>
      <c r="N43" s="76"/>
      <c r="O43" s="76"/>
      <c r="P43" s="76"/>
      <c r="Q43" s="76"/>
      <c r="R43" s="76"/>
      <c r="S43" s="76"/>
      <c r="T43" s="76"/>
      <c r="U43" s="76"/>
      <c r="V43" s="76"/>
      <c r="W43" s="76"/>
      <c r="X43" s="76"/>
      <c r="Y43" s="76"/>
    </row>
    <row r="44" spans="9:25" ht="12.75">
      <c r="I44" s="76"/>
      <c r="J44" s="76"/>
      <c r="K44" s="76"/>
      <c r="L44" s="76"/>
      <c r="M44" s="76"/>
      <c r="N44" s="76"/>
      <c r="O44" s="76"/>
      <c r="P44" s="76"/>
      <c r="Q44" s="76"/>
      <c r="R44" s="76"/>
      <c r="S44" s="76"/>
      <c r="T44" s="76"/>
      <c r="U44" s="76"/>
      <c r="V44" s="76"/>
      <c r="W44" s="76"/>
      <c r="X44" s="76"/>
      <c r="Y44" s="76"/>
    </row>
    <row r="45" spans="9:25" ht="12.75">
      <c r="I45" s="76"/>
      <c r="J45" s="76"/>
      <c r="K45" s="76"/>
      <c r="L45" s="76"/>
      <c r="M45" s="76"/>
      <c r="N45" s="76"/>
      <c r="O45" s="76"/>
      <c r="P45" s="76"/>
      <c r="Q45" s="76"/>
      <c r="R45" s="76"/>
      <c r="S45" s="76"/>
      <c r="T45" s="76"/>
      <c r="U45" s="76"/>
      <c r="V45" s="76"/>
      <c r="W45" s="76"/>
      <c r="X45" s="76"/>
      <c r="Y45" s="76"/>
    </row>
    <row r="46" spans="9:25" ht="12.75">
      <c r="I46" s="76"/>
      <c r="J46" s="76"/>
      <c r="K46" s="76"/>
      <c r="L46" s="76"/>
      <c r="M46" s="76"/>
      <c r="N46" s="76"/>
      <c r="O46" s="76"/>
      <c r="P46" s="76"/>
      <c r="Q46" s="76"/>
      <c r="R46" s="76"/>
      <c r="S46" s="76"/>
      <c r="T46" s="76"/>
      <c r="U46" s="76"/>
      <c r="V46" s="76"/>
      <c r="W46" s="76"/>
      <c r="X46" s="76"/>
      <c r="Y46" s="76"/>
    </row>
    <row r="47" spans="9:25" ht="12.75">
      <c r="I47" s="76"/>
      <c r="J47" s="76"/>
      <c r="K47" s="76"/>
      <c r="L47" s="76"/>
      <c r="M47" s="76"/>
      <c r="N47" s="76"/>
      <c r="O47" s="76"/>
      <c r="P47" s="76"/>
      <c r="Q47" s="76"/>
      <c r="R47" s="76"/>
      <c r="S47" s="76"/>
      <c r="T47" s="76"/>
      <c r="U47" s="76"/>
      <c r="V47" s="76"/>
      <c r="W47" s="76"/>
      <c r="X47" s="76"/>
      <c r="Y47" s="76"/>
    </row>
    <row r="48" spans="9:25" ht="12.75">
      <c r="I48" s="76"/>
      <c r="J48" s="76"/>
      <c r="K48" s="76"/>
      <c r="L48" s="76"/>
      <c r="M48" s="76"/>
      <c r="N48" s="76"/>
      <c r="O48" s="76"/>
      <c r="P48" s="76"/>
      <c r="Q48" s="76"/>
      <c r="R48" s="76"/>
      <c r="S48" s="76"/>
      <c r="T48" s="76"/>
      <c r="U48" s="76"/>
      <c r="V48" s="76"/>
      <c r="W48" s="76"/>
      <c r="X48" s="76"/>
      <c r="Y48" s="76"/>
    </row>
    <row r="49" spans="9:25" ht="12.75">
      <c r="I49" s="76"/>
      <c r="J49" s="76"/>
      <c r="K49" s="76"/>
      <c r="L49" s="76"/>
      <c r="M49" s="76"/>
      <c r="N49" s="76"/>
      <c r="O49" s="76"/>
      <c r="P49" s="76"/>
      <c r="Q49" s="76"/>
      <c r="R49" s="76"/>
      <c r="S49" s="76"/>
      <c r="T49" s="76"/>
      <c r="U49" s="76"/>
      <c r="V49" s="76"/>
      <c r="W49" s="76"/>
      <c r="X49" s="76"/>
      <c r="Y49" s="76"/>
    </row>
    <row r="50" spans="9:25" ht="12.75">
      <c r="I50" s="76"/>
      <c r="J50" s="76"/>
      <c r="K50" s="76"/>
      <c r="L50" s="76"/>
      <c r="M50" s="76"/>
      <c r="N50" s="76"/>
      <c r="O50" s="76"/>
      <c r="P50" s="76"/>
      <c r="Q50" s="76"/>
      <c r="R50" s="76"/>
      <c r="S50" s="76"/>
      <c r="T50" s="76"/>
      <c r="U50" s="76"/>
      <c r="V50" s="76"/>
      <c r="W50" s="76"/>
      <c r="X50" s="76"/>
      <c r="Y50" s="76"/>
    </row>
    <row r="51" spans="9:25" ht="12.75">
      <c r="I51" s="76"/>
      <c r="J51" s="76"/>
      <c r="K51" s="76"/>
      <c r="L51" s="76"/>
      <c r="M51" s="76"/>
      <c r="N51" s="76"/>
      <c r="O51" s="76"/>
      <c r="P51" s="76"/>
      <c r="Q51" s="76"/>
      <c r="R51" s="76"/>
      <c r="S51" s="76"/>
      <c r="T51" s="76"/>
      <c r="U51" s="76"/>
      <c r="V51" s="76"/>
      <c r="W51" s="76"/>
      <c r="X51" s="76"/>
      <c r="Y51" s="76"/>
    </row>
    <row r="52" spans="9:25" ht="12.75">
      <c r="I52" s="76"/>
      <c r="J52" s="76"/>
      <c r="K52" s="76"/>
      <c r="L52" s="76"/>
      <c r="M52" s="76"/>
      <c r="N52" s="76"/>
      <c r="O52" s="76"/>
      <c r="P52" s="76"/>
      <c r="Q52" s="76"/>
      <c r="R52" s="76"/>
      <c r="S52" s="76"/>
      <c r="T52" s="76"/>
      <c r="U52" s="76"/>
      <c r="V52" s="76"/>
      <c r="W52" s="76"/>
      <c r="X52" s="76"/>
      <c r="Y52" s="76"/>
    </row>
  </sheetData>
  <mergeCells count="12">
    <mergeCell ref="A28:D29"/>
    <mergeCell ref="E24:F25"/>
    <mergeCell ref="E28:F29"/>
    <mergeCell ref="G24:H25"/>
    <mergeCell ref="G28:H29"/>
    <mergeCell ref="A24:D25"/>
    <mergeCell ref="E27:F27"/>
    <mergeCell ref="G27:H27"/>
    <mergeCell ref="O7:T7"/>
    <mergeCell ref="B4:L5"/>
    <mergeCell ref="B3:L3"/>
    <mergeCell ref="F7:G7"/>
  </mergeCells>
  <printOptions/>
  <pageMargins left="0.75" right="0.75" top="1" bottom="1"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D45"/>
  <sheetViews>
    <sheetView workbookViewId="0" topLeftCell="A1">
      <selection activeCell="E19" sqref="E19:L20"/>
    </sheetView>
  </sheetViews>
  <sheetFormatPr defaultColWidth="11.421875" defaultRowHeight="12.75"/>
  <cols>
    <col min="1" max="1" width="4.140625" style="368" customWidth="1"/>
    <col min="2" max="3" width="11.421875" style="368" customWidth="1"/>
    <col min="4" max="4" width="45.7109375" style="368" customWidth="1"/>
    <col min="5" max="12" width="6.7109375" style="368" customWidth="1"/>
    <col min="13" max="22" width="4.7109375" style="0" customWidth="1"/>
  </cols>
  <sheetData>
    <row r="1" spans="1:12" s="13" customFormat="1" ht="18.75" thickBot="1">
      <c r="A1" s="398"/>
      <c r="B1" s="397" t="s">
        <v>31</v>
      </c>
      <c r="C1" s="398"/>
      <c r="D1" s="398"/>
      <c r="E1" s="398"/>
      <c r="F1" s="398"/>
      <c r="G1" s="398"/>
      <c r="H1" s="398"/>
      <c r="I1" s="398"/>
      <c r="J1" s="398"/>
      <c r="K1" s="398"/>
      <c r="L1" s="398"/>
    </row>
    <row r="2" spans="13:27" ht="12.75">
      <c r="M2" s="76"/>
      <c r="N2" s="76"/>
      <c r="O2" s="76"/>
      <c r="P2" s="76"/>
      <c r="Q2" s="76"/>
      <c r="R2" s="76"/>
      <c r="S2" s="76"/>
      <c r="T2" s="76"/>
      <c r="U2" s="76"/>
      <c r="V2" s="76"/>
      <c r="W2" s="76"/>
      <c r="X2" s="76"/>
      <c r="Y2" s="76"/>
      <c r="Z2" s="76"/>
      <c r="AA2" s="76"/>
    </row>
    <row r="3" spans="2:27" ht="12.75">
      <c r="B3" s="696" t="s">
        <v>240</v>
      </c>
      <c r="C3" s="696"/>
      <c r="D3" s="696"/>
      <c r="E3" s="696"/>
      <c r="F3" s="696"/>
      <c r="G3" s="696"/>
      <c r="H3" s="696"/>
      <c r="I3" s="696"/>
      <c r="J3" s="696"/>
      <c r="K3" s="696"/>
      <c r="L3" s="696"/>
      <c r="M3" s="76"/>
      <c r="N3" s="76"/>
      <c r="O3" s="76"/>
      <c r="P3" s="76"/>
      <c r="Q3" s="76"/>
      <c r="R3" s="76"/>
      <c r="S3" s="76"/>
      <c r="T3" s="76"/>
      <c r="U3" s="76"/>
      <c r="V3" s="76"/>
      <c r="W3" s="76"/>
      <c r="X3" s="76"/>
      <c r="Y3" s="76"/>
      <c r="Z3" s="76"/>
      <c r="AA3" s="76"/>
    </row>
    <row r="4" spans="2:27" ht="12.75">
      <c r="B4" s="744" t="s">
        <v>39</v>
      </c>
      <c r="C4" s="745"/>
      <c r="D4" s="745"/>
      <c r="E4" s="745"/>
      <c r="F4" s="745"/>
      <c r="G4" s="745"/>
      <c r="H4" s="745"/>
      <c r="I4" s="745"/>
      <c r="J4" s="745"/>
      <c r="K4" s="745"/>
      <c r="L4" s="745"/>
      <c r="M4" s="76"/>
      <c r="N4" s="76"/>
      <c r="O4" s="76"/>
      <c r="P4" s="76"/>
      <c r="Q4" s="76"/>
      <c r="R4" s="76"/>
      <c r="S4" s="76"/>
      <c r="T4" s="76"/>
      <c r="U4" s="76"/>
      <c r="V4" s="76"/>
      <c r="W4" s="76"/>
      <c r="X4" s="76"/>
      <c r="Y4" s="76"/>
      <c r="Z4" s="76"/>
      <c r="AA4" s="76"/>
    </row>
    <row r="5" spans="2:27" ht="12.75">
      <c r="B5" s="745"/>
      <c r="C5" s="745"/>
      <c r="D5" s="745"/>
      <c r="E5" s="745"/>
      <c r="F5" s="745"/>
      <c r="G5" s="745"/>
      <c r="H5" s="745"/>
      <c r="I5" s="745"/>
      <c r="J5" s="745"/>
      <c r="K5" s="745"/>
      <c r="L5" s="745"/>
      <c r="M5" s="76"/>
      <c r="N5" s="76"/>
      <c r="O5" s="76"/>
      <c r="P5" s="76"/>
      <c r="Q5" s="76"/>
      <c r="R5" s="76"/>
      <c r="S5" s="76"/>
      <c r="T5" s="76"/>
      <c r="U5" s="76"/>
      <c r="V5" s="76"/>
      <c r="W5" s="76"/>
      <c r="X5" s="76"/>
      <c r="Y5" s="76"/>
      <c r="Z5" s="76"/>
      <c r="AA5" s="76"/>
    </row>
    <row r="6" spans="2:27" ht="13.5" thickBot="1">
      <c r="B6" s="746" t="s">
        <v>40</v>
      </c>
      <c r="C6" s="747"/>
      <c r="D6" s="747"/>
      <c r="E6" s="747"/>
      <c r="F6" s="747"/>
      <c r="G6" s="747"/>
      <c r="H6" s="747"/>
      <c r="I6" s="747"/>
      <c r="J6" s="747"/>
      <c r="K6" s="747"/>
      <c r="L6" s="747"/>
      <c r="M6" s="76"/>
      <c r="N6" s="76"/>
      <c r="O6" s="76"/>
      <c r="P6" s="76"/>
      <c r="Q6" s="76"/>
      <c r="R6" s="76"/>
      <c r="S6" s="76"/>
      <c r="T6" s="76"/>
      <c r="U6" s="76"/>
      <c r="V6" s="76"/>
      <c r="W6" s="76"/>
      <c r="X6" s="76"/>
      <c r="Y6" s="76"/>
      <c r="Z6" s="76"/>
      <c r="AA6" s="76"/>
    </row>
    <row r="7" spans="12:27" ht="15.75" thickBot="1">
      <c r="L7" s="556"/>
      <c r="M7" s="90"/>
      <c r="N7" s="90"/>
      <c r="O7" s="90"/>
      <c r="P7" s="90"/>
      <c r="Q7" s="90"/>
      <c r="R7" s="90"/>
      <c r="S7" s="90"/>
      <c r="T7" s="90"/>
      <c r="U7" s="90"/>
      <c r="V7" s="91"/>
      <c r="W7" s="76"/>
      <c r="X7" s="76"/>
      <c r="Y7" s="76"/>
      <c r="Z7" s="76"/>
      <c r="AA7" s="76"/>
    </row>
    <row r="8" spans="1:27" ht="16.5" thickBot="1">
      <c r="A8" s="391"/>
      <c r="B8" s="416" t="s">
        <v>11</v>
      </c>
      <c r="C8" s="417" t="s">
        <v>17</v>
      </c>
      <c r="D8" s="418"/>
      <c r="E8" s="697" t="s">
        <v>238</v>
      </c>
      <c r="F8" s="698"/>
      <c r="G8" s="698"/>
      <c r="H8" s="698"/>
      <c r="I8" s="698"/>
      <c r="J8" s="698"/>
      <c r="K8" s="698"/>
      <c r="L8" s="691"/>
      <c r="M8" s="88"/>
      <c r="N8" s="88"/>
      <c r="O8" s="88"/>
      <c r="P8" s="88"/>
      <c r="Q8" s="707"/>
      <c r="R8" s="707"/>
      <c r="S8" s="707"/>
      <c r="T8" s="707"/>
      <c r="U8" s="707"/>
      <c r="V8" s="707"/>
      <c r="W8" s="76"/>
      <c r="X8" s="76"/>
      <c r="Y8" s="76"/>
      <c r="Z8" s="76"/>
      <c r="AA8" s="76"/>
    </row>
    <row r="9" spans="1:27" ht="13.5" thickBot="1">
      <c r="A9" s="389"/>
      <c r="B9" s="398"/>
      <c r="C9" s="398"/>
      <c r="D9" s="398"/>
      <c r="E9" s="480" t="s">
        <v>38</v>
      </c>
      <c r="F9" s="352" t="s">
        <v>37</v>
      </c>
      <c r="G9" s="384" t="s">
        <v>36</v>
      </c>
      <c r="H9" s="411" t="s">
        <v>35</v>
      </c>
      <c r="I9" s="440" t="s">
        <v>34</v>
      </c>
      <c r="J9" s="525" t="s">
        <v>33</v>
      </c>
      <c r="K9" s="411" t="s">
        <v>239</v>
      </c>
      <c r="L9" s="557" t="s">
        <v>32</v>
      </c>
      <c r="M9" s="78"/>
      <c r="N9" s="78"/>
      <c r="O9" s="78"/>
      <c r="P9" s="78"/>
      <c r="Q9" s="78"/>
      <c r="R9" s="78"/>
      <c r="S9" s="78"/>
      <c r="T9" s="78"/>
      <c r="U9" s="78"/>
      <c r="V9" s="78"/>
      <c r="W9" s="76"/>
      <c r="X9" s="76"/>
      <c r="Y9" s="76"/>
      <c r="Z9" s="76"/>
      <c r="AA9" s="76"/>
    </row>
    <row r="10" spans="1:27" ht="13.5" thickBot="1">
      <c r="A10" s="392"/>
      <c r="B10" s="421" t="s">
        <v>12</v>
      </c>
      <c r="C10" s="422"/>
      <c r="D10" s="422"/>
      <c r="E10" s="526"/>
      <c r="F10" s="527"/>
      <c r="G10" s="527"/>
      <c r="H10" s="527"/>
      <c r="I10" s="527"/>
      <c r="J10" s="558">
        <f>'CUARTEL GENERAL'!E18</f>
        <v>0</v>
      </c>
      <c r="K10" s="559"/>
      <c r="L10" s="560"/>
      <c r="M10" s="89"/>
      <c r="N10" s="89"/>
      <c r="O10" s="89"/>
      <c r="P10" s="89"/>
      <c r="Q10" s="89"/>
      <c r="R10" s="89"/>
      <c r="S10" s="89"/>
      <c r="T10" s="89"/>
      <c r="U10" s="89"/>
      <c r="V10" s="89"/>
      <c r="W10" s="76"/>
      <c r="X10" s="76"/>
      <c r="Y10" s="76"/>
      <c r="Z10" s="76"/>
      <c r="AA10" s="76"/>
    </row>
    <row r="11" spans="1:27" ht="13.5" thickBot="1">
      <c r="A11" s="391"/>
      <c r="B11" s="529" t="s">
        <v>13</v>
      </c>
      <c r="C11" s="398"/>
      <c r="D11" s="398"/>
      <c r="E11" s="530"/>
      <c r="F11" s="531"/>
      <c r="G11" s="531">
        <f>LINEA!H20+LINEA!H21+LINEA!H26</f>
        <v>0</v>
      </c>
      <c r="H11" s="531">
        <f>LINEA!H31</f>
        <v>0</v>
      </c>
      <c r="I11" s="531"/>
      <c r="J11" s="561"/>
      <c r="K11" s="562"/>
      <c r="L11" s="563"/>
      <c r="M11" s="89"/>
      <c r="N11" s="89"/>
      <c r="O11" s="89"/>
      <c r="P11" s="89"/>
      <c r="Q11" s="89"/>
      <c r="R11" s="89"/>
      <c r="S11" s="89"/>
      <c r="T11" s="89"/>
      <c r="U11" s="89"/>
      <c r="V11" s="89"/>
      <c r="W11" s="76"/>
      <c r="X11" s="76"/>
      <c r="Y11" s="76"/>
      <c r="Z11" s="76"/>
      <c r="AA11" s="76"/>
    </row>
    <row r="12" spans="1:27" ht="13.5" thickBot="1">
      <c r="A12" s="389"/>
      <c r="B12" s="388" t="s">
        <v>14</v>
      </c>
      <c r="C12" s="398"/>
      <c r="D12" s="398"/>
      <c r="E12" s="530"/>
      <c r="F12" s="531"/>
      <c r="G12" s="531"/>
      <c r="H12" s="531">
        <f>ELITE!K12+ELITE!K13-ELITE!K15</f>
        <v>0</v>
      </c>
      <c r="I12" s="531">
        <f>ELITE!K15</f>
        <v>0</v>
      </c>
      <c r="J12" s="564"/>
      <c r="K12" s="562"/>
      <c r="L12" s="563"/>
      <c r="M12" s="78"/>
      <c r="N12" s="78"/>
      <c r="O12" s="78"/>
      <c r="P12" s="78"/>
      <c r="Q12" s="78"/>
      <c r="R12" s="78"/>
      <c r="S12" s="78"/>
      <c r="T12" s="78"/>
      <c r="U12" s="78"/>
      <c r="V12" s="78"/>
      <c r="W12" s="76"/>
      <c r="X12" s="76"/>
      <c r="Y12" s="76"/>
      <c r="Z12" s="76"/>
      <c r="AA12" s="76"/>
    </row>
    <row r="13" spans="1:27" ht="13.5" thickBot="1">
      <c r="A13" s="395"/>
      <c r="B13" s="388" t="s">
        <v>15</v>
      </c>
      <c r="C13" s="388"/>
      <c r="D13" s="398"/>
      <c r="E13" s="530"/>
      <c r="F13" s="531">
        <f>'A.RAPIDO'!H24+'A.RAPIDO'!H27+'A.RAPIDO'!H31+'A.RAPIDO'!H28+'A.RAPIDO'!H32+'A.RAPIDO'!H29+'A.RAPIDO'!H33+'A.RAPIDO'!H30+'A.RAPIDO'!H34</f>
        <v>0</v>
      </c>
      <c r="G13" s="531"/>
      <c r="H13" s="531"/>
      <c r="I13" s="531"/>
      <c r="J13" s="564"/>
      <c r="K13" s="562"/>
      <c r="L13" s="563"/>
      <c r="M13" s="78"/>
      <c r="N13" s="78"/>
      <c r="O13" s="78"/>
      <c r="P13" s="78"/>
      <c r="Q13" s="78"/>
      <c r="R13" s="78"/>
      <c r="S13" s="78"/>
      <c r="T13" s="78"/>
      <c r="U13" s="78"/>
      <c r="V13" s="78"/>
      <c r="W13" s="76"/>
      <c r="X13" s="76"/>
      <c r="Y13" s="76"/>
      <c r="Z13" s="76"/>
      <c r="AA13" s="76"/>
    </row>
    <row r="14" spans="1:30" ht="13.5" thickBot="1">
      <c r="A14" s="389"/>
      <c r="B14" s="388" t="s">
        <v>16</v>
      </c>
      <c r="C14" s="398"/>
      <c r="D14" s="398"/>
      <c r="E14" s="530"/>
      <c r="F14" s="531"/>
      <c r="G14" s="531">
        <f>'A.PESADO'!H38</f>
        <v>0</v>
      </c>
      <c r="H14" s="531">
        <f>'A.PESADO'!H28+'A.PESADO'!H29+'A.PESADO'!H30+'A.PESADO'!H31+'A.PESADO'!H32+'A.PESADO'!H33+'A.PESADO'!H43</f>
        <v>0</v>
      </c>
      <c r="I14" s="531"/>
      <c r="J14" s="564"/>
      <c r="K14" s="562">
        <f>'A.PESADO'!H18+'A.PESADO'!H23</f>
        <v>0</v>
      </c>
      <c r="L14" s="563"/>
      <c r="M14" s="78"/>
      <c r="N14" s="78"/>
      <c r="O14" s="78"/>
      <c r="P14" s="78"/>
      <c r="Q14" s="78"/>
      <c r="R14" s="78"/>
      <c r="S14" s="78"/>
      <c r="T14" s="78"/>
      <c r="U14" s="78"/>
      <c r="V14" s="78"/>
      <c r="W14" s="76"/>
      <c r="X14" s="76"/>
      <c r="Y14" s="87"/>
      <c r="Z14" s="83"/>
      <c r="AA14" s="77"/>
      <c r="AB14" s="16"/>
      <c r="AC14" s="16"/>
      <c r="AD14" s="14"/>
    </row>
    <row r="15" spans="1:30" ht="13.5" thickBot="1">
      <c r="A15" s="389"/>
      <c r="B15" s="388" t="s">
        <v>18</v>
      </c>
      <c r="C15" s="398"/>
      <c r="D15" s="398"/>
      <c r="E15" s="530">
        <f aca="true" t="shared" si="0" ref="E15:L15">SUM(E16:E16)</f>
        <v>0</v>
      </c>
      <c r="F15" s="531">
        <f t="shared" si="0"/>
        <v>0</v>
      </c>
      <c r="G15" s="531">
        <f t="shared" si="0"/>
        <v>0</v>
      </c>
      <c r="H15" s="531">
        <f t="shared" si="0"/>
        <v>0</v>
      </c>
      <c r="I15" s="531">
        <f t="shared" si="0"/>
        <v>0</v>
      </c>
      <c r="J15" s="564">
        <f t="shared" si="0"/>
        <v>0</v>
      </c>
      <c r="K15" s="562">
        <f t="shared" si="0"/>
        <v>0</v>
      </c>
      <c r="L15" s="563">
        <f t="shared" si="0"/>
        <v>0</v>
      </c>
      <c r="M15" s="89"/>
      <c r="N15" s="89"/>
      <c r="O15" s="89"/>
      <c r="P15" s="89"/>
      <c r="Q15" s="89"/>
      <c r="R15" s="89"/>
      <c r="S15" s="89"/>
      <c r="T15" s="89"/>
      <c r="U15" s="89"/>
      <c r="V15" s="89"/>
      <c r="W15" s="76"/>
      <c r="X15" s="76"/>
      <c r="Y15" s="85"/>
      <c r="Z15" s="85"/>
      <c r="AA15" s="79"/>
      <c r="AB15" s="30"/>
      <c r="AC15" s="16"/>
      <c r="AD15" s="14"/>
    </row>
    <row r="16" spans="1:30" ht="13.5" thickBot="1">
      <c r="A16" s="393">
        <v>1</v>
      </c>
      <c r="B16" s="111"/>
      <c r="C16" s="390"/>
      <c r="D16" s="390"/>
      <c r="E16" s="533"/>
      <c r="F16" s="534"/>
      <c r="G16" s="534"/>
      <c r="H16" s="534"/>
      <c r="I16" s="534"/>
      <c r="J16" s="565"/>
      <c r="K16" s="431"/>
      <c r="L16" s="566"/>
      <c r="M16" s="79"/>
      <c r="N16" s="79"/>
      <c r="O16" s="79"/>
      <c r="P16" s="79"/>
      <c r="Q16" s="79"/>
      <c r="R16" s="79"/>
      <c r="S16" s="79"/>
      <c r="T16" s="79"/>
      <c r="U16" s="79"/>
      <c r="V16" s="79"/>
      <c r="W16" s="76"/>
      <c r="X16" s="76"/>
      <c r="Y16" s="85"/>
      <c r="Z16" s="85"/>
      <c r="AA16" s="79"/>
      <c r="AB16" s="30"/>
      <c r="AC16" s="16"/>
      <c r="AD16" s="14"/>
    </row>
    <row r="17" spans="1:30" ht="13.5" thickBot="1">
      <c r="A17" s="389"/>
      <c r="B17" s="388" t="s">
        <v>1</v>
      </c>
      <c r="C17" s="398"/>
      <c r="D17" s="398"/>
      <c r="E17" s="381">
        <f aca="true" t="shared" si="1" ref="E17:L17">E10+E11+E12+E13+E14+E15</f>
        <v>0</v>
      </c>
      <c r="F17" s="381">
        <f t="shared" si="1"/>
        <v>0</v>
      </c>
      <c r="G17" s="381">
        <f t="shared" si="1"/>
        <v>0</v>
      </c>
      <c r="H17" s="381">
        <f t="shared" si="1"/>
        <v>0</v>
      </c>
      <c r="I17" s="381">
        <f t="shared" si="1"/>
        <v>0</v>
      </c>
      <c r="J17" s="351">
        <f t="shared" si="1"/>
        <v>0</v>
      </c>
      <c r="K17" s="381">
        <f t="shared" si="1"/>
        <v>0</v>
      </c>
      <c r="L17" s="372">
        <f t="shared" si="1"/>
        <v>0</v>
      </c>
      <c r="M17" s="78"/>
      <c r="N17" s="78"/>
      <c r="O17" s="78"/>
      <c r="P17" s="78"/>
      <c r="Q17" s="78"/>
      <c r="R17" s="78"/>
      <c r="S17" s="78"/>
      <c r="T17" s="78"/>
      <c r="U17" s="78"/>
      <c r="V17" s="78"/>
      <c r="W17" s="76"/>
      <c r="X17" s="76"/>
      <c r="Y17" s="77"/>
      <c r="Z17" s="77"/>
      <c r="AA17" s="77"/>
      <c r="AB17" s="16"/>
      <c r="AC17" s="16"/>
      <c r="AD17" s="14"/>
    </row>
    <row r="18" spans="1:30" ht="13.5" thickBot="1">
      <c r="A18" s="389"/>
      <c r="B18" s="388" t="s">
        <v>116</v>
      </c>
      <c r="C18" s="398"/>
      <c r="D18" s="398"/>
      <c r="E18" s="420">
        <f>E17*0.5</f>
        <v>0</v>
      </c>
      <c r="F18" s="420">
        <f>F17*1</f>
        <v>0</v>
      </c>
      <c r="G18" s="420">
        <f>G17*1.5</f>
        <v>0</v>
      </c>
      <c r="H18" s="420">
        <f>H17*2</f>
        <v>0</v>
      </c>
      <c r="I18" s="420">
        <f>I17*3</f>
        <v>0</v>
      </c>
      <c r="J18" s="420">
        <f>J17*4</f>
        <v>0</v>
      </c>
      <c r="K18" s="420">
        <f>K17*4.5</f>
        <v>0</v>
      </c>
      <c r="L18" s="427">
        <f>L17*5</f>
        <v>0</v>
      </c>
      <c r="M18" s="79"/>
      <c r="N18" s="79"/>
      <c r="O18" s="79"/>
      <c r="P18" s="79"/>
      <c r="Q18" s="79"/>
      <c r="R18" s="79"/>
      <c r="S18" s="79"/>
      <c r="T18" s="79"/>
      <c r="U18" s="79"/>
      <c r="V18" s="79"/>
      <c r="W18" s="76"/>
      <c r="X18" s="76"/>
      <c r="Y18" s="77"/>
      <c r="Z18" s="77"/>
      <c r="AA18" s="77"/>
      <c r="AB18" s="16"/>
      <c r="AC18" s="16"/>
      <c r="AD18" s="14"/>
    </row>
    <row r="19" spans="1:30" ht="12.75" customHeight="1">
      <c r="A19" s="711" t="s">
        <v>44</v>
      </c>
      <c r="B19" s="712"/>
      <c r="C19" s="712"/>
      <c r="D19" s="713"/>
      <c r="E19" s="693" t="e">
        <f>SUM(E18:L18)/(SUM(E17:K17))</f>
        <v>#DIV/0!</v>
      </c>
      <c r="F19" s="712"/>
      <c r="G19" s="712"/>
      <c r="H19" s="712"/>
      <c r="I19" s="712"/>
      <c r="J19" s="712"/>
      <c r="K19" s="712"/>
      <c r="L19" s="712"/>
      <c r="M19" s="92"/>
      <c r="N19" s="92"/>
      <c r="O19" s="92"/>
      <c r="P19" s="92"/>
      <c r="Q19" s="92"/>
      <c r="R19" s="92"/>
      <c r="S19" s="92"/>
      <c r="T19" s="92"/>
      <c r="U19" s="92"/>
      <c r="V19" s="93"/>
      <c r="W19" s="76"/>
      <c r="X19" s="76"/>
      <c r="Y19" s="77"/>
      <c r="Z19" s="77"/>
      <c r="AA19" s="77"/>
      <c r="AB19" s="16"/>
      <c r="AC19" s="16"/>
      <c r="AD19" s="14"/>
    </row>
    <row r="20" spans="1:30" ht="13.5" customHeight="1" thickBot="1">
      <c r="A20" s="690"/>
      <c r="B20" s="691"/>
      <c r="C20" s="691"/>
      <c r="D20" s="692"/>
      <c r="E20" s="690"/>
      <c r="F20" s="691"/>
      <c r="G20" s="691"/>
      <c r="H20" s="691"/>
      <c r="I20" s="691"/>
      <c r="J20" s="691"/>
      <c r="K20" s="691"/>
      <c r="L20" s="691"/>
      <c r="M20" s="94"/>
      <c r="N20" s="94"/>
      <c r="O20" s="94"/>
      <c r="P20" s="94"/>
      <c r="Q20" s="94"/>
      <c r="R20" s="94"/>
      <c r="S20" s="94"/>
      <c r="T20" s="94"/>
      <c r="U20" s="94"/>
      <c r="V20" s="95"/>
      <c r="W20" s="76"/>
      <c r="X20" s="76"/>
      <c r="Y20" s="77"/>
      <c r="Z20" s="77"/>
      <c r="AA20" s="77"/>
      <c r="AB20" s="16"/>
      <c r="AC20" s="16"/>
      <c r="AD20" s="14"/>
    </row>
    <row r="21" spans="13:30" ht="12.75">
      <c r="M21" s="76"/>
      <c r="N21" s="76"/>
      <c r="O21" s="76"/>
      <c r="P21" s="76"/>
      <c r="Q21" s="76"/>
      <c r="R21" s="76"/>
      <c r="S21" s="76"/>
      <c r="T21" s="76"/>
      <c r="U21" s="76"/>
      <c r="V21" s="76"/>
      <c r="W21" s="82"/>
      <c r="X21" s="77"/>
      <c r="Y21" s="77"/>
      <c r="Z21" s="83"/>
      <c r="AA21" s="77"/>
      <c r="AB21" s="16"/>
      <c r="AC21" s="75"/>
      <c r="AD21" s="14"/>
    </row>
    <row r="22" spans="13:30" ht="18.75">
      <c r="M22" s="76"/>
      <c r="N22" s="76"/>
      <c r="O22" s="76"/>
      <c r="P22" s="76"/>
      <c r="Q22" s="76"/>
      <c r="R22" s="76"/>
      <c r="S22" s="76"/>
      <c r="T22" s="76"/>
      <c r="U22" s="76"/>
      <c r="V22" s="76"/>
      <c r="W22" s="85"/>
      <c r="X22" s="86"/>
      <c r="Y22" s="86"/>
      <c r="Z22" s="85"/>
      <c r="AA22" s="86"/>
      <c r="AB22" s="15"/>
      <c r="AC22" s="16"/>
      <c r="AD22" s="14"/>
    </row>
    <row r="23" spans="13:30" ht="12.75">
      <c r="M23" s="76"/>
      <c r="N23" s="76"/>
      <c r="O23" s="76"/>
      <c r="P23" s="76"/>
      <c r="Q23" s="76"/>
      <c r="R23" s="76"/>
      <c r="S23" s="76"/>
      <c r="T23" s="76"/>
      <c r="U23" s="76"/>
      <c r="V23" s="76"/>
      <c r="W23" s="85"/>
      <c r="X23" s="79"/>
      <c r="Y23" s="79"/>
      <c r="Z23" s="85"/>
      <c r="AA23" s="79"/>
      <c r="AB23" s="30"/>
      <c r="AC23" s="16"/>
      <c r="AD23" s="14"/>
    </row>
    <row r="24" spans="13:30" ht="12.75">
      <c r="M24" s="76"/>
      <c r="N24" s="76"/>
      <c r="O24" s="76"/>
      <c r="P24" s="76"/>
      <c r="Q24" s="76"/>
      <c r="R24" s="76"/>
      <c r="S24" s="76"/>
      <c r="T24" s="76"/>
      <c r="U24" s="76"/>
      <c r="V24" s="76"/>
      <c r="W24" s="85"/>
      <c r="X24" s="79"/>
      <c r="Y24" s="79"/>
      <c r="Z24" s="85"/>
      <c r="AA24" s="79"/>
      <c r="AB24" s="30"/>
      <c r="AC24" s="16"/>
      <c r="AD24" s="14"/>
    </row>
    <row r="25" spans="13:30" ht="12.75">
      <c r="M25" s="76"/>
      <c r="N25" s="76"/>
      <c r="O25" s="76"/>
      <c r="P25" s="76"/>
      <c r="Q25" s="76"/>
      <c r="R25" s="76"/>
      <c r="S25" s="76"/>
      <c r="T25" s="76"/>
      <c r="U25" s="76"/>
      <c r="V25" s="76"/>
      <c r="W25" s="85"/>
      <c r="X25" s="79"/>
      <c r="Y25" s="79"/>
      <c r="Z25" s="85"/>
      <c r="AA25" s="79"/>
      <c r="AB25" s="30"/>
      <c r="AC25" s="16"/>
      <c r="AD25" s="14"/>
    </row>
    <row r="26" spans="13:30" ht="12.75">
      <c r="M26" s="76"/>
      <c r="N26" s="76"/>
      <c r="O26" s="76"/>
      <c r="P26" s="76"/>
      <c r="Q26" s="76"/>
      <c r="R26" s="76"/>
      <c r="S26" s="76"/>
      <c r="T26" s="76"/>
      <c r="U26" s="76"/>
      <c r="V26" s="76"/>
      <c r="W26" s="85"/>
      <c r="X26" s="79"/>
      <c r="Y26" s="79"/>
      <c r="Z26" s="85"/>
      <c r="AA26" s="79"/>
      <c r="AB26" s="30"/>
      <c r="AC26" s="16"/>
      <c r="AD26" s="14"/>
    </row>
    <row r="27" spans="13:30" ht="12.75">
      <c r="M27" s="76"/>
      <c r="N27" s="76"/>
      <c r="O27" s="76"/>
      <c r="P27" s="76"/>
      <c r="Q27" s="76"/>
      <c r="R27" s="76"/>
      <c r="S27" s="76"/>
      <c r="T27" s="76"/>
      <c r="U27" s="76"/>
      <c r="V27" s="76"/>
      <c r="W27" s="85"/>
      <c r="X27" s="79"/>
      <c r="Y27" s="79"/>
      <c r="Z27" s="85"/>
      <c r="AA27" s="79"/>
      <c r="AB27" s="30"/>
      <c r="AC27" s="16"/>
      <c r="AD27" s="14"/>
    </row>
    <row r="28" spans="13:30" ht="12.75">
      <c r="M28" s="76"/>
      <c r="N28" s="76"/>
      <c r="O28" s="76"/>
      <c r="P28" s="76"/>
      <c r="Q28" s="76"/>
      <c r="R28" s="76"/>
      <c r="S28" s="76"/>
      <c r="T28" s="76"/>
      <c r="U28" s="76"/>
      <c r="V28" s="76"/>
      <c r="W28" s="85"/>
      <c r="X28" s="79"/>
      <c r="Y28" s="79"/>
      <c r="Z28" s="85"/>
      <c r="AA28" s="79"/>
      <c r="AB28" s="30"/>
      <c r="AC28" s="16"/>
      <c r="AD28" s="14"/>
    </row>
    <row r="29" spans="13:30" ht="12.75">
      <c r="M29" s="76"/>
      <c r="N29" s="76"/>
      <c r="O29" s="76"/>
      <c r="P29" s="76"/>
      <c r="Q29" s="76"/>
      <c r="R29" s="76"/>
      <c r="S29" s="76"/>
      <c r="T29" s="76"/>
      <c r="U29" s="76"/>
      <c r="V29" s="76"/>
      <c r="W29" s="77"/>
      <c r="X29" s="79"/>
      <c r="Y29" s="79"/>
      <c r="Z29" s="77"/>
      <c r="AA29" s="79"/>
      <c r="AB29" s="30"/>
      <c r="AC29" s="17"/>
      <c r="AD29" s="14"/>
    </row>
    <row r="30" spans="13:30" ht="12.75">
      <c r="M30" s="76"/>
      <c r="N30" s="76"/>
      <c r="O30" s="76"/>
      <c r="P30" s="76"/>
      <c r="Q30" s="76"/>
      <c r="R30" s="76"/>
      <c r="S30" s="76"/>
      <c r="T30" s="76"/>
      <c r="U30" s="76"/>
      <c r="V30" s="76"/>
      <c r="W30" s="77"/>
      <c r="X30" s="77"/>
      <c r="Y30" s="76"/>
      <c r="Z30" s="76"/>
      <c r="AA30" s="76"/>
      <c r="AB30" s="14"/>
      <c r="AC30" s="14"/>
      <c r="AD30" s="14"/>
    </row>
    <row r="31" spans="13:27" ht="12.75">
      <c r="M31" s="76"/>
      <c r="N31" s="76"/>
      <c r="O31" s="76"/>
      <c r="P31" s="76"/>
      <c r="Q31" s="76"/>
      <c r="R31" s="76"/>
      <c r="S31" s="76"/>
      <c r="T31" s="76"/>
      <c r="U31" s="76"/>
      <c r="V31" s="76"/>
      <c r="W31" s="77"/>
      <c r="X31" s="77"/>
      <c r="Y31" s="76"/>
      <c r="Z31" s="76"/>
      <c r="AA31" s="76"/>
    </row>
    <row r="32" spans="13:27" ht="12.75">
      <c r="M32" s="76"/>
      <c r="N32" s="76"/>
      <c r="O32" s="76"/>
      <c r="P32" s="76"/>
      <c r="Q32" s="76"/>
      <c r="R32" s="76"/>
      <c r="S32" s="76"/>
      <c r="T32" s="76"/>
      <c r="U32" s="76"/>
      <c r="V32" s="76"/>
      <c r="W32" s="77"/>
      <c r="X32" s="77"/>
      <c r="Y32" s="76"/>
      <c r="Z32" s="76"/>
      <c r="AA32" s="76"/>
    </row>
    <row r="33" spans="13:27" ht="12.75">
      <c r="M33" s="76"/>
      <c r="N33" s="76"/>
      <c r="O33" s="76"/>
      <c r="P33" s="76"/>
      <c r="Q33" s="76"/>
      <c r="R33" s="76"/>
      <c r="S33" s="76"/>
      <c r="T33" s="76"/>
      <c r="U33" s="76"/>
      <c r="V33" s="76"/>
      <c r="W33" s="76"/>
      <c r="X33" s="76"/>
      <c r="Y33" s="76"/>
      <c r="Z33" s="76"/>
      <c r="AA33" s="76"/>
    </row>
    <row r="34" spans="13:27" ht="12.75">
      <c r="M34" s="76"/>
      <c r="N34" s="76"/>
      <c r="O34" s="76"/>
      <c r="P34" s="76"/>
      <c r="Q34" s="76"/>
      <c r="R34" s="76"/>
      <c r="S34" s="76"/>
      <c r="T34" s="76"/>
      <c r="U34" s="76"/>
      <c r="V34" s="76"/>
      <c r="W34" s="76"/>
      <c r="X34" s="76"/>
      <c r="Y34" s="76"/>
      <c r="Z34" s="76"/>
      <c r="AA34" s="76"/>
    </row>
    <row r="35" spans="13:27" ht="12.75">
      <c r="M35" s="76"/>
      <c r="N35" s="76"/>
      <c r="O35" s="76"/>
      <c r="P35" s="76"/>
      <c r="Q35" s="76"/>
      <c r="R35" s="76"/>
      <c r="S35" s="76"/>
      <c r="T35" s="76"/>
      <c r="U35" s="76"/>
      <c r="V35" s="76"/>
      <c r="W35" s="76"/>
      <c r="X35" s="76"/>
      <c r="Y35" s="76"/>
      <c r="Z35" s="76"/>
      <c r="AA35" s="76"/>
    </row>
    <row r="36" spans="13:27" ht="12.75">
      <c r="M36" s="76"/>
      <c r="N36" s="76"/>
      <c r="O36" s="76"/>
      <c r="P36" s="76"/>
      <c r="Q36" s="76"/>
      <c r="R36" s="76"/>
      <c r="S36" s="76"/>
      <c r="T36" s="76"/>
      <c r="U36" s="76"/>
      <c r="V36" s="76"/>
      <c r="W36" s="76"/>
      <c r="X36" s="76"/>
      <c r="Y36" s="76"/>
      <c r="Z36" s="76"/>
      <c r="AA36" s="76"/>
    </row>
    <row r="37" spans="13:27" ht="12.75">
      <c r="M37" s="76"/>
      <c r="N37" s="76"/>
      <c r="O37" s="76"/>
      <c r="P37" s="76"/>
      <c r="Q37" s="76"/>
      <c r="R37" s="76"/>
      <c r="S37" s="76"/>
      <c r="T37" s="76"/>
      <c r="U37" s="76"/>
      <c r="V37" s="76"/>
      <c r="W37" s="76"/>
      <c r="X37" s="76"/>
      <c r="Y37" s="76"/>
      <c r="Z37" s="76"/>
      <c r="AA37" s="76"/>
    </row>
    <row r="38" spans="13:27" ht="12.75">
      <c r="M38" s="76"/>
      <c r="N38" s="76"/>
      <c r="O38" s="76"/>
      <c r="P38" s="76"/>
      <c r="Q38" s="76"/>
      <c r="R38" s="76"/>
      <c r="S38" s="76"/>
      <c r="T38" s="76"/>
      <c r="U38" s="76"/>
      <c r="V38" s="76"/>
      <c r="W38" s="76"/>
      <c r="X38" s="76"/>
      <c r="Y38" s="76"/>
      <c r="Z38" s="76"/>
      <c r="AA38" s="76"/>
    </row>
    <row r="39" spans="13:27" ht="12.75">
      <c r="M39" s="76"/>
      <c r="N39" s="76"/>
      <c r="O39" s="76"/>
      <c r="P39" s="76"/>
      <c r="Q39" s="76"/>
      <c r="R39" s="76"/>
      <c r="S39" s="76"/>
      <c r="T39" s="76"/>
      <c r="U39" s="76"/>
      <c r="V39" s="76"/>
      <c r="W39" s="76"/>
      <c r="X39" s="76"/>
      <c r="Y39" s="76"/>
      <c r="Z39" s="76"/>
      <c r="AA39" s="76"/>
    </row>
    <row r="40" spans="13:27" ht="12.75">
      <c r="M40" s="76"/>
      <c r="N40" s="76"/>
      <c r="O40" s="76"/>
      <c r="P40" s="76"/>
      <c r="Q40" s="76"/>
      <c r="R40" s="76"/>
      <c r="S40" s="76"/>
      <c r="T40" s="76"/>
      <c r="U40" s="76"/>
      <c r="V40" s="76"/>
      <c r="W40" s="76"/>
      <c r="X40" s="76"/>
      <c r="Y40" s="76"/>
      <c r="Z40" s="76"/>
      <c r="AA40" s="76"/>
    </row>
    <row r="41" spans="13:27" ht="12.75">
      <c r="M41" s="76"/>
      <c r="N41" s="76"/>
      <c r="O41" s="76"/>
      <c r="P41" s="76"/>
      <c r="Q41" s="76"/>
      <c r="R41" s="76"/>
      <c r="S41" s="76"/>
      <c r="T41" s="76"/>
      <c r="U41" s="76"/>
      <c r="V41" s="76"/>
      <c r="W41" s="76"/>
      <c r="X41" s="76"/>
      <c r="Y41" s="76"/>
      <c r="Z41" s="76"/>
      <c r="AA41" s="76"/>
    </row>
    <row r="42" spans="13:27" ht="12.75">
      <c r="M42" s="76"/>
      <c r="N42" s="76"/>
      <c r="O42" s="76"/>
      <c r="P42" s="76"/>
      <c r="Q42" s="76"/>
      <c r="R42" s="76"/>
      <c r="S42" s="76"/>
      <c r="T42" s="76"/>
      <c r="U42" s="76"/>
      <c r="V42" s="76"/>
      <c r="W42" s="76"/>
      <c r="X42" s="76"/>
      <c r="Y42" s="76"/>
      <c r="Z42" s="76"/>
      <c r="AA42" s="76"/>
    </row>
    <row r="43" spans="13:27" ht="12.75">
      <c r="M43" s="76"/>
      <c r="N43" s="76"/>
      <c r="O43" s="76"/>
      <c r="P43" s="76"/>
      <c r="Q43" s="76"/>
      <c r="R43" s="76"/>
      <c r="S43" s="76"/>
      <c r="T43" s="76"/>
      <c r="U43" s="76"/>
      <c r="V43" s="76"/>
      <c r="W43" s="76"/>
      <c r="X43" s="76"/>
      <c r="Y43" s="76"/>
      <c r="Z43" s="76"/>
      <c r="AA43" s="76"/>
    </row>
    <row r="44" spans="13:27" ht="12.75">
      <c r="M44" s="76"/>
      <c r="N44" s="76"/>
      <c r="O44" s="76"/>
      <c r="P44" s="76"/>
      <c r="Q44" s="76"/>
      <c r="R44" s="76"/>
      <c r="S44" s="76"/>
      <c r="T44" s="76"/>
      <c r="U44" s="76"/>
      <c r="V44" s="76"/>
      <c r="W44" s="76"/>
      <c r="X44" s="76"/>
      <c r="Y44" s="76"/>
      <c r="Z44" s="76"/>
      <c r="AA44" s="76"/>
    </row>
    <row r="45" spans="13:27" ht="12.75">
      <c r="M45" s="76"/>
      <c r="N45" s="76"/>
      <c r="O45" s="76"/>
      <c r="P45" s="76"/>
      <c r="Q45" s="76"/>
      <c r="R45" s="76"/>
      <c r="S45" s="76"/>
      <c r="T45" s="76"/>
      <c r="U45" s="76"/>
      <c r="V45" s="76"/>
      <c r="W45" s="76"/>
      <c r="X45" s="76"/>
      <c r="Y45" s="76"/>
      <c r="Z45" s="76"/>
      <c r="AA45" s="76"/>
    </row>
  </sheetData>
  <mergeCells count="7">
    <mergeCell ref="B3:L3"/>
    <mergeCell ref="A19:D20"/>
    <mergeCell ref="Q8:V8"/>
    <mergeCell ref="E8:L8"/>
    <mergeCell ref="E19:L20"/>
    <mergeCell ref="B4:L5"/>
    <mergeCell ref="B6:L6"/>
  </mergeCells>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A1:AD42"/>
  <sheetViews>
    <sheetView workbookViewId="0" topLeftCell="A1">
      <selection activeCell="M19" sqref="M19"/>
    </sheetView>
  </sheetViews>
  <sheetFormatPr defaultColWidth="11.421875" defaultRowHeight="12.75"/>
  <cols>
    <col min="1" max="1" width="4.140625" style="368" customWidth="1"/>
    <col min="2" max="3" width="11.421875" style="368" customWidth="1"/>
    <col min="4" max="4" width="45.7109375" style="368" customWidth="1"/>
    <col min="5" max="11" width="4.7109375" style="368" customWidth="1"/>
    <col min="12" max="22" width="4.7109375" style="0" customWidth="1"/>
  </cols>
  <sheetData>
    <row r="1" spans="1:11" s="13" customFormat="1" ht="18.75" thickBot="1">
      <c r="A1" s="398"/>
      <c r="B1" s="397" t="s">
        <v>29</v>
      </c>
      <c r="C1" s="398"/>
      <c r="D1" s="398"/>
      <c r="E1" s="398"/>
      <c r="F1" s="398"/>
      <c r="G1" s="398"/>
      <c r="H1" s="398"/>
      <c r="I1" s="398"/>
      <c r="J1" s="398"/>
      <c r="K1" s="398"/>
    </row>
    <row r="2" spans="12:27" ht="13.5" thickBot="1">
      <c r="L2" s="76"/>
      <c r="M2" s="76"/>
      <c r="N2" s="76"/>
      <c r="O2" s="76"/>
      <c r="P2" s="76"/>
      <c r="Q2" s="76"/>
      <c r="R2" s="76"/>
      <c r="S2" s="76"/>
      <c r="T2" s="76"/>
      <c r="U2" s="76"/>
      <c r="V2" s="76"/>
      <c r="W2" s="76"/>
      <c r="X2" s="76"/>
      <c r="Y2" s="76"/>
      <c r="Z2" s="76"/>
      <c r="AA2" s="76"/>
    </row>
    <row r="3" spans="12:27" ht="15.75" thickBot="1">
      <c r="L3" s="90"/>
      <c r="M3" s="90"/>
      <c r="N3" s="90"/>
      <c r="O3" s="90"/>
      <c r="P3" s="90"/>
      <c r="Q3" s="90"/>
      <c r="R3" s="90"/>
      <c r="S3" s="90"/>
      <c r="T3" s="90"/>
      <c r="U3" s="90"/>
      <c r="V3" s="91"/>
      <c r="W3" s="76"/>
      <c r="X3" s="76"/>
      <c r="Y3" s="76"/>
      <c r="Z3" s="76"/>
      <c r="AA3" s="76"/>
    </row>
    <row r="4" spans="1:27" ht="16.5" thickBot="1">
      <c r="A4" s="391"/>
      <c r="B4" s="416" t="s">
        <v>11</v>
      </c>
      <c r="C4" s="417" t="s">
        <v>17</v>
      </c>
      <c r="D4" s="418"/>
      <c r="E4" s="731" t="s">
        <v>235</v>
      </c>
      <c r="F4" s="748"/>
      <c r="G4" s="748"/>
      <c r="H4" s="748"/>
      <c r="I4" s="748"/>
      <c r="J4" s="748"/>
      <c r="K4" s="748"/>
      <c r="L4" s="88"/>
      <c r="M4" s="88"/>
      <c r="N4" s="88"/>
      <c r="O4" s="88"/>
      <c r="P4" s="88"/>
      <c r="Q4" s="707"/>
      <c r="R4" s="707"/>
      <c r="S4" s="707"/>
      <c r="T4" s="707"/>
      <c r="U4" s="707"/>
      <c r="V4" s="707"/>
      <c r="W4" s="76"/>
      <c r="X4" s="76"/>
      <c r="Y4" s="76"/>
      <c r="Z4" s="76"/>
      <c r="AA4" s="76"/>
    </row>
    <row r="5" spans="1:27" ht="13.5" thickBot="1">
      <c r="A5" s="389"/>
      <c r="B5" s="398"/>
      <c r="C5" s="398"/>
      <c r="D5" s="398"/>
      <c r="E5" s="352" t="s">
        <v>237</v>
      </c>
      <c r="F5" s="384">
        <v>3</v>
      </c>
      <c r="G5" s="411">
        <v>4</v>
      </c>
      <c r="H5" s="440">
        <v>5</v>
      </c>
      <c r="I5" s="525">
        <v>6</v>
      </c>
      <c r="J5" s="440">
        <v>7</v>
      </c>
      <c r="K5" s="411" t="s">
        <v>236</v>
      </c>
      <c r="L5" s="78"/>
      <c r="M5" s="78"/>
      <c r="N5" s="78"/>
      <c r="O5" s="78"/>
      <c r="P5" s="78"/>
      <c r="Q5" s="78"/>
      <c r="R5" s="78"/>
      <c r="S5" s="78"/>
      <c r="T5" s="78"/>
      <c r="U5" s="78"/>
      <c r="V5" s="78"/>
      <c r="W5" s="76"/>
      <c r="X5" s="76"/>
      <c r="Y5" s="76"/>
      <c r="Z5" s="76"/>
      <c r="AA5" s="76"/>
    </row>
    <row r="6" spans="1:27" ht="13.5" thickBot="1">
      <c r="A6" s="392"/>
      <c r="B6" s="421" t="s">
        <v>12</v>
      </c>
      <c r="C6" s="422"/>
      <c r="D6" s="422"/>
      <c r="E6" s="526"/>
      <c r="F6" s="527"/>
      <c r="G6" s="527">
        <f>'CUARTEL GENERAL'!H110</f>
        <v>0</v>
      </c>
      <c r="H6" s="527">
        <f>'CUARTEL GENERAL'!H111</f>
        <v>0</v>
      </c>
      <c r="I6" s="527"/>
      <c r="J6" s="527"/>
      <c r="K6" s="550"/>
      <c r="L6" s="89"/>
      <c r="M6" s="89"/>
      <c r="N6" s="89"/>
      <c r="O6" s="89"/>
      <c r="P6" s="89"/>
      <c r="Q6" s="89"/>
      <c r="R6" s="89"/>
      <c r="S6" s="89"/>
      <c r="T6" s="89"/>
      <c r="U6" s="89"/>
      <c r="V6" s="89"/>
      <c r="W6" s="76"/>
      <c r="X6" s="76"/>
      <c r="Y6" s="76"/>
      <c r="Z6" s="76"/>
      <c r="AA6" s="76"/>
    </row>
    <row r="7" spans="1:27" ht="13.5" thickBot="1">
      <c r="A7" s="391"/>
      <c r="B7" s="529" t="s">
        <v>13</v>
      </c>
      <c r="C7" s="398"/>
      <c r="D7" s="398"/>
      <c r="E7" s="530"/>
      <c r="F7" s="531"/>
      <c r="G7" s="531">
        <f>LINEA!H36</f>
        <v>0</v>
      </c>
      <c r="H7" s="531"/>
      <c r="I7" s="531"/>
      <c r="J7" s="551"/>
      <c r="K7" s="552"/>
      <c r="L7" s="89"/>
      <c r="M7" s="89"/>
      <c r="N7" s="89"/>
      <c r="O7" s="89"/>
      <c r="P7" s="89"/>
      <c r="Q7" s="89"/>
      <c r="R7" s="89"/>
      <c r="S7" s="89"/>
      <c r="T7" s="89"/>
      <c r="U7" s="89"/>
      <c r="V7" s="89"/>
      <c r="W7" s="76"/>
      <c r="X7" s="76"/>
      <c r="Y7" s="76"/>
      <c r="Z7" s="76"/>
      <c r="AA7" s="76"/>
    </row>
    <row r="8" spans="1:27" ht="13.5" thickBot="1">
      <c r="A8" s="389"/>
      <c r="B8" s="388" t="s">
        <v>14</v>
      </c>
      <c r="C8" s="398"/>
      <c r="D8" s="398"/>
      <c r="E8" s="530"/>
      <c r="F8" s="531"/>
      <c r="G8" s="531">
        <f>ELITE!H94</f>
        <v>0</v>
      </c>
      <c r="H8" s="531"/>
      <c r="I8" s="531"/>
      <c r="J8" s="531"/>
      <c r="K8" s="552"/>
      <c r="L8" s="78"/>
      <c r="M8" s="78"/>
      <c r="N8" s="78"/>
      <c r="O8" s="78"/>
      <c r="P8" s="78"/>
      <c r="Q8" s="78"/>
      <c r="R8" s="78"/>
      <c r="S8" s="78"/>
      <c r="T8" s="78"/>
      <c r="U8" s="78"/>
      <c r="V8" s="78"/>
      <c r="W8" s="76"/>
      <c r="X8" s="76"/>
      <c r="Y8" s="76"/>
      <c r="Z8" s="76"/>
      <c r="AA8" s="76"/>
    </row>
    <row r="9" spans="1:27" ht="13.5" thickBot="1">
      <c r="A9" s="395"/>
      <c r="B9" s="388" t="s">
        <v>15</v>
      </c>
      <c r="C9" s="388"/>
      <c r="D9" s="398"/>
      <c r="E9" s="530"/>
      <c r="F9" s="531"/>
      <c r="G9" s="531">
        <f>'A.RAPIDO'!H40</f>
        <v>0</v>
      </c>
      <c r="H9" s="531">
        <f>'A.RAPIDO'!H41</f>
        <v>0</v>
      </c>
      <c r="I9" s="531"/>
      <c r="J9" s="531"/>
      <c r="K9" s="552"/>
      <c r="L9" s="78"/>
      <c r="M9" s="78"/>
      <c r="N9" s="78"/>
      <c r="O9" s="78"/>
      <c r="P9" s="78"/>
      <c r="Q9" s="78"/>
      <c r="R9" s="78"/>
      <c r="S9" s="78"/>
      <c r="T9" s="78"/>
      <c r="U9" s="78"/>
      <c r="V9" s="78"/>
      <c r="W9" s="76"/>
      <c r="X9" s="76"/>
      <c r="Y9" s="76"/>
      <c r="Z9" s="76"/>
      <c r="AA9" s="76"/>
    </row>
    <row r="10" spans="1:30" ht="13.5" thickBot="1">
      <c r="A10" s="389"/>
      <c r="B10" s="388" t="s">
        <v>16</v>
      </c>
      <c r="C10" s="398"/>
      <c r="D10" s="398"/>
      <c r="E10" s="530"/>
      <c r="F10" s="531"/>
      <c r="G10" s="531">
        <f>'A.PESADO'!H50</f>
        <v>0</v>
      </c>
      <c r="H10" s="531"/>
      <c r="I10" s="531"/>
      <c r="J10" s="531"/>
      <c r="K10" s="552"/>
      <c r="L10" s="78"/>
      <c r="M10" s="78"/>
      <c r="N10" s="78"/>
      <c r="O10" s="78"/>
      <c r="P10" s="78"/>
      <c r="Q10" s="78"/>
      <c r="R10" s="78"/>
      <c r="S10" s="78"/>
      <c r="T10" s="78"/>
      <c r="U10" s="78"/>
      <c r="V10" s="78"/>
      <c r="W10" s="76"/>
      <c r="X10" s="76"/>
      <c r="Y10" s="87"/>
      <c r="Z10" s="83"/>
      <c r="AA10" s="77"/>
      <c r="AB10" s="16"/>
      <c r="AC10" s="16"/>
      <c r="AD10" s="14"/>
    </row>
    <row r="11" spans="1:30" ht="13.5" thickBot="1">
      <c r="A11" s="389"/>
      <c r="B11" s="388" t="s">
        <v>18</v>
      </c>
      <c r="C11" s="398"/>
      <c r="D11" s="398"/>
      <c r="E11" s="530">
        <f aca="true" t="shared" si="0" ref="E11:K11">SUM(E12:E12)</f>
        <v>0</v>
      </c>
      <c r="F11" s="531">
        <f t="shared" si="0"/>
        <v>0</v>
      </c>
      <c r="G11" s="531">
        <f t="shared" si="0"/>
        <v>0</v>
      </c>
      <c r="H11" s="531">
        <f t="shared" si="0"/>
        <v>0</v>
      </c>
      <c r="I11" s="531">
        <f t="shared" si="0"/>
        <v>0</v>
      </c>
      <c r="J11" s="531">
        <f t="shared" si="0"/>
        <v>0</v>
      </c>
      <c r="K11" s="552">
        <f t="shared" si="0"/>
        <v>0</v>
      </c>
      <c r="L11" s="89"/>
      <c r="M11" s="89"/>
      <c r="N11" s="89"/>
      <c r="O11" s="89"/>
      <c r="P11" s="89"/>
      <c r="Q11" s="89"/>
      <c r="R11" s="89"/>
      <c r="S11" s="89"/>
      <c r="T11" s="89"/>
      <c r="U11" s="89"/>
      <c r="V11" s="89"/>
      <c r="W11" s="76"/>
      <c r="X11" s="76"/>
      <c r="Y11" s="85"/>
      <c r="Z11" s="85"/>
      <c r="AA11" s="79"/>
      <c r="AB11" s="30"/>
      <c r="AC11" s="16"/>
      <c r="AD11" s="14"/>
    </row>
    <row r="12" spans="1:30" ht="12.75">
      <c r="A12" s="393">
        <v>6</v>
      </c>
      <c r="B12" s="111"/>
      <c r="C12" s="390"/>
      <c r="D12" s="390"/>
      <c r="E12" s="533"/>
      <c r="F12" s="534"/>
      <c r="G12" s="534"/>
      <c r="H12" s="534"/>
      <c r="I12" s="534"/>
      <c r="J12" s="534"/>
      <c r="K12" s="553"/>
      <c r="L12" s="79"/>
      <c r="M12" s="79"/>
      <c r="N12" s="79"/>
      <c r="O12" s="79"/>
      <c r="P12" s="79"/>
      <c r="Q12" s="79"/>
      <c r="R12" s="79"/>
      <c r="S12" s="79"/>
      <c r="T12" s="79"/>
      <c r="U12" s="79"/>
      <c r="V12" s="79"/>
      <c r="W12" s="76"/>
      <c r="X12" s="76"/>
      <c r="Y12" s="77"/>
      <c r="Z12" s="77"/>
      <c r="AA12" s="77"/>
      <c r="AB12" s="16"/>
      <c r="AC12" s="16"/>
      <c r="AD12" s="14"/>
    </row>
    <row r="13" spans="1:30" ht="13.5" thickBot="1">
      <c r="A13" s="394"/>
      <c r="B13" s="111"/>
      <c r="C13" s="390"/>
      <c r="D13" s="390"/>
      <c r="E13" s="536"/>
      <c r="F13" s="537"/>
      <c r="G13" s="537"/>
      <c r="H13" s="537"/>
      <c r="I13" s="537"/>
      <c r="J13" s="537"/>
      <c r="K13" s="554"/>
      <c r="L13" s="79"/>
      <c r="M13" s="79"/>
      <c r="N13" s="79"/>
      <c r="O13" s="79"/>
      <c r="P13" s="79"/>
      <c r="Q13" s="79"/>
      <c r="R13" s="79"/>
      <c r="S13" s="79"/>
      <c r="T13" s="79"/>
      <c r="U13" s="79"/>
      <c r="V13" s="79"/>
      <c r="W13" s="76"/>
      <c r="X13" s="76"/>
      <c r="Y13" s="77"/>
      <c r="Z13" s="77"/>
      <c r="AA13" s="77"/>
      <c r="AB13" s="16"/>
      <c r="AC13" s="16"/>
      <c r="AD13" s="14"/>
    </row>
    <row r="14" spans="1:30" ht="13.5" thickBot="1">
      <c r="A14" s="389"/>
      <c r="B14" s="388" t="s">
        <v>1</v>
      </c>
      <c r="C14" s="398"/>
      <c r="D14" s="398"/>
      <c r="E14" s="381">
        <f aca="true" t="shared" si="1" ref="E14:K14">E6+E7+E8+E9+E10+E11</f>
        <v>0</v>
      </c>
      <c r="F14" s="381">
        <f t="shared" si="1"/>
        <v>0</v>
      </c>
      <c r="G14" s="381">
        <f t="shared" si="1"/>
        <v>0</v>
      </c>
      <c r="H14" s="381">
        <f t="shared" si="1"/>
        <v>0</v>
      </c>
      <c r="I14" s="381">
        <f t="shared" si="1"/>
        <v>0</v>
      </c>
      <c r="J14" s="381">
        <f t="shared" si="1"/>
        <v>0</v>
      </c>
      <c r="K14" s="351">
        <f t="shared" si="1"/>
        <v>0</v>
      </c>
      <c r="L14" s="78"/>
      <c r="M14" s="78"/>
      <c r="N14" s="78"/>
      <c r="O14" s="78"/>
      <c r="P14" s="78"/>
      <c r="Q14" s="78"/>
      <c r="R14" s="78"/>
      <c r="S14" s="78"/>
      <c r="T14" s="78"/>
      <c r="U14" s="78"/>
      <c r="V14" s="78"/>
      <c r="W14" s="76"/>
      <c r="X14" s="76"/>
      <c r="Y14" s="77"/>
      <c r="Z14" s="77"/>
      <c r="AA14" s="77"/>
      <c r="AB14" s="16"/>
      <c r="AC14" s="16"/>
      <c r="AD14" s="14"/>
    </row>
    <row r="15" spans="1:30" ht="13.5" thickBot="1">
      <c r="A15" s="389"/>
      <c r="B15" s="388" t="s">
        <v>116</v>
      </c>
      <c r="C15" s="398"/>
      <c r="D15" s="398"/>
      <c r="E15" s="420">
        <f>E14*0.5</f>
        <v>0</v>
      </c>
      <c r="F15" s="420">
        <f>F14*1</f>
        <v>0</v>
      </c>
      <c r="G15" s="420">
        <f>G14*2</f>
        <v>0</v>
      </c>
      <c r="H15" s="420">
        <f>H14*3</f>
        <v>0</v>
      </c>
      <c r="I15" s="420">
        <f>I14*4</f>
        <v>0</v>
      </c>
      <c r="J15" s="420">
        <f>J14*4.5</f>
        <v>0</v>
      </c>
      <c r="K15" s="420">
        <f>K14*5</f>
        <v>0</v>
      </c>
      <c r="L15" s="79"/>
      <c r="M15" s="79"/>
      <c r="N15" s="79"/>
      <c r="O15" s="79"/>
      <c r="P15" s="79"/>
      <c r="Q15" s="79"/>
      <c r="R15" s="79"/>
      <c r="S15" s="79"/>
      <c r="T15" s="79"/>
      <c r="U15" s="79"/>
      <c r="V15" s="79"/>
      <c r="W15" s="76"/>
      <c r="X15" s="76"/>
      <c r="Y15" s="77"/>
      <c r="Z15" s="77"/>
      <c r="AA15" s="77"/>
      <c r="AB15" s="16"/>
      <c r="AC15" s="16"/>
      <c r="AD15" s="14"/>
    </row>
    <row r="16" spans="1:30" ht="12.75" customHeight="1">
      <c r="A16" s="711" t="s">
        <v>30</v>
      </c>
      <c r="B16" s="712"/>
      <c r="C16" s="712"/>
      <c r="D16" s="713"/>
      <c r="E16" s="693" t="e">
        <f>SUM(E15:K15)/(SUM(E14:K14))</f>
        <v>#DIV/0!</v>
      </c>
      <c r="F16" s="712"/>
      <c r="G16" s="712"/>
      <c r="H16" s="712"/>
      <c r="I16" s="712"/>
      <c r="J16" s="712"/>
      <c r="K16" s="712"/>
      <c r="L16" s="92"/>
      <c r="M16" s="92"/>
      <c r="N16" s="92"/>
      <c r="O16" s="92"/>
      <c r="P16" s="92"/>
      <c r="Q16" s="92"/>
      <c r="R16" s="92"/>
      <c r="S16" s="92"/>
      <c r="T16" s="92"/>
      <c r="U16" s="92"/>
      <c r="V16" s="93"/>
      <c r="W16" s="76"/>
      <c r="X16" s="76"/>
      <c r="Y16" s="77"/>
      <c r="Z16" s="77"/>
      <c r="AA16" s="77"/>
      <c r="AB16" s="16"/>
      <c r="AC16" s="16"/>
      <c r="AD16" s="14"/>
    </row>
    <row r="17" spans="1:30" ht="13.5" customHeight="1" thickBot="1">
      <c r="A17" s="690"/>
      <c r="B17" s="691"/>
      <c r="C17" s="691"/>
      <c r="D17" s="692"/>
      <c r="E17" s="690"/>
      <c r="F17" s="691"/>
      <c r="G17" s="691"/>
      <c r="H17" s="691"/>
      <c r="I17" s="691"/>
      <c r="J17" s="691"/>
      <c r="K17" s="691"/>
      <c r="L17" s="94"/>
      <c r="M17" s="94"/>
      <c r="N17" s="94"/>
      <c r="O17" s="94"/>
      <c r="P17" s="94"/>
      <c r="Q17" s="94"/>
      <c r="R17" s="94"/>
      <c r="S17" s="94"/>
      <c r="T17" s="94"/>
      <c r="U17" s="94"/>
      <c r="V17" s="95"/>
      <c r="W17" s="76"/>
      <c r="X17" s="76"/>
      <c r="Y17" s="77"/>
      <c r="Z17" s="77"/>
      <c r="AA17" s="77"/>
      <c r="AB17" s="16"/>
      <c r="AC17" s="16"/>
      <c r="AD17" s="14"/>
    </row>
    <row r="18" spans="12:30" ht="12.75">
      <c r="L18" s="76"/>
      <c r="M18" s="76"/>
      <c r="N18" s="76"/>
      <c r="O18" s="76"/>
      <c r="P18" s="76"/>
      <c r="Q18" s="76"/>
      <c r="R18" s="76"/>
      <c r="S18" s="76"/>
      <c r="T18" s="76"/>
      <c r="U18" s="76"/>
      <c r="V18" s="76"/>
      <c r="W18" s="82"/>
      <c r="X18" s="77"/>
      <c r="Y18" s="77"/>
      <c r="Z18" s="83"/>
      <c r="AA18" s="77"/>
      <c r="AB18" s="16"/>
      <c r="AC18" s="75"/>
      <c r="AD18" s="14"/>
    </row>
    <row r="19" spans="12:30" ht="18.75">
      <c r="L19" s="76"/>
      <c r="M19" s="76"/>
      <c r="N19" s="76"/>
      <c r="O19" s="76"/>
      <c r="P19" s="76"/>
      <c r="Q19" s="76"/>
      <c r="R19" s="76"/>
      <c r="S19" s="76"/>
      <c r="T19" s="76"/>
      <c r="U19" s="76"/>
      <c r="V19" s="76"/>
      <c r="W19" s="85"/>
      <c r="X19" s="86"/>
      <c r="Y19" s="86"/>
      <c r="Z19" s="85"/>
      <c r="AA19" s="86"/>
      <c r="AB19" s="15"/>
      <c r="AC19" s="16"/>
      <c r="AD19" s="14"/>
    </row>
    <row r="20" spans="12:30" ht="12.75">
      <c r="L20" s="76"/>
      <c r="M20" s="76"/>
      <c r="N20" s="76"/>
      <c r="O20" s="76"/>
      <c r="P20" s="76"/>
      <c r="Q20" s="76"/>
      <c r="R20" s="76"/>
      <c r="S20" s="76"/>
      <c r="T20" s="76"/>
      <c r="U20" s="76"/>
      <c r="V20" s="76"/>
      <c r="W20" s="85"/>
      <c r="X20" s="79"/>
      <c r="Y20" s="79"/>
      <c r="Z20" s="85"/>
      <c r="AA20" s="79"/>
      <c r="AB20" s="30"/>
      <c r="AC20" s="16"/>
      <c r="AD20" s="14"/>
    </row>
    <row r="21" spans="12:30" ht="12.75">
      <c r="L21" s="76"/>
      <c r="M21" s="76"/>
      <c r="N21" s="76"/>
      <c r="O21" s="76"/>
      <c r="P21" s="76"/>
      <c r="Q21" s="76"/>
      <c r="R21" s="76"/>
      <c r="S21" s="76"/>
      <c r="T21" s="76"/>
      <c r="U21" s="76"/>
      <c r="V21" s="76"/>
      <c r="W21" s="85"/>
      <c r="X21" s="79"/>
      <c r="Y21" s="79"/>
      <c r="Z21" s="85"/>
      <c r="AA21" s="79"/>
      <c r="AB21" s="30"/>
      <c r="AC21" s="16"/>
      <c r="AD21" s="14"/>
    </row>
    <row r="22" spans="12:30" ht="12.75">
      <c r="L22" s="76"/>
      <c r="M22" s="76"/>
      <c r="N22" s="76"/>
      <c r="O22" s="76"/>
      <c r="P22" s="76"/>
      <c r="Q22" s="76"/>
      <c r="R22" s="76"/>
      <c r="S22" s="76"/>
      <c r="T22" s="76"/>
      <c r="U22" s="76"/>
      <c r="V22" s="76"/>
      <c r="W22" s="85"/>
      <c r="X22" s="79"/>
      <c r="Y22" s="79"/>
      <c r="Z22" s="85"/>
      <c r="AA22" s="79"/>
      <c r="AB22" s="30"/>
      <c r="AC22" s="16"/>
      <c r="AD22" s="14"/>
    </row>
    <row r="23" spans="12:30" ht="12.75">
      <c r="L23" s="76"/>
      <c r="M23" s="76"/>
      <c r="N23" s="76"/>
      <c r="O23" s="76"/>
      <c r="P23" s="76"/>
      <c r="Q23" s="76"/>
      <c r="R23" s="76"/>
      <c r="S23" s="76"/>
      <c r="T23" s="76"/>
      <c r="U23" s="76"/>
      <c r="V23" s="76"/>
      <c r="W23" s="85"/>
      <c r="X23" s="79"/>
      <c r="Y23" s="79"/>
      <c r="Z23" s="85"/>
      <c r="AA23" s="79"/>
      <c r="AB23" s="30"/>
      <c r="AC23" s="16"/>
      <c r="AD23" s="14"/>
    </row>
    <row r="24" spans="12:30" ht="12.75">
      <c r="L24" s="76"/>
      <c r="M24" s="76"/>
      <c r="N24" s="76"/>
      <c r="O24" s="76"/>
      <c r="P24" s="76"/>
      <c r="Q24" s="76"/>
      <c r="R24" s="76"/>
      <c r="S24" s="76"/>
      <c r="T24" s="76"/>
      <c r="U24" s="76"/>
      <c r="V24" s="76"/>
      <c r="W24" s="85"/>
      <c r="X24" s="79"/>
      <c r="Y24" s="79"/>
      <c r="Z24" s="85"/>
      <c r="AA24" s="79"/>
      <c r="AB24" s="30"/>
      <c r="AC24" s="16"/>
      <c r="AD24" s="14"/>
    </row>
    <row r="25" spans="12:30" ht="12.75">
      <c r="L25" s="76"/>
      <c r="M25" s="76"/>
      <c r="N25" s="76"/>
      <c r="O25" s="76"/>
      <c r="P25" s="76"/>
      <c r="Q25" s="76"/>
      <c r="R25" s="76"/>
      <c r="S25" s="76"/>
      <c r="T25" s="76"/>
      <c r="U25" s="76"/>
      <c r="V25" s="76"/>
      <c r="W25" s="85"/>
      <c r="X25" s="79"/>
      <c r="Y25" s="79"/>
      <c r="Z25" s="85"/>
      <c r="AA25" s="79"/>
      <c r="AB25" s="30"/>
      <c r="AC25" s="16"/>
      <c r="AD25" s="14"/>
    </row>
    <row r="26" spans="12:30" ht="12.75">
      <c r="L26" s="76"/>
      <c r="M26" s="76"/>
      <c r="N26" s="76"/>
      <c r="O26" s="76"/>
      <c r="P26" s="76"/>
      <c r="Q26" s="76"/>
      <c r="R26" s="76"/>
      <c r="S26" s="76"/>
      <c r="T26" s="76"/>
      <c r="U26" s="76"/>
      <c r="V26" s="76"/>
      <c r="W26" s="77"/>
      <c r="X26" s="79"/>
      <c r="Y26" s="79"/>
      <c r="Z26" s="77"/>
      <c r="AA26" s="79"/>
      <c r="AB26" s="30"/>
      <c r="AC26" s="17"/>
      <c r="AD26" s="14"/>
    </row>
    <row r="27" spans="12:30" ht="12.75">
      <c r="L27" s="76"/>
      <c r="M27" s="76"/>
      <c r="N27" s="76"/>
      <c r="O27" s="76"/>
      <c r="P27" s="76"/>
      <c r="Q27" s="76"/>
      <c r="R27" s="76"/>
      <c r="S27" s="76"/>
      <c r="T27" s="76"/>
      <c r="U27" s="76"/>
      <c r="V27" s="76"/>
      <c r="W27" s="77"/>
      <c r="X27" s="77"/>
      <c r="Y27" s="76"/>
      <c r="Z27" s="76"/>
      <c r="AA27" s="76"/>
      <c r="AB27" s="14"/>
      <c r="AC27" s="14"/>
      <c r="AD27" s="14"/>
    </row>
    <row r="28" spans="12:27" ht="12.75">
      <c r="L28" s="76"/>
      <c r="M28" s="76"/>
      <c r="N28" s="76"/>
      <c r="O28" s="76"/>
      <c r="P28" s="76"/>
      <c r="Q28" s="76"/>
      <c r="R28" s="76"/>
      <c r="S28" s="76"/>
      <c r="T28" s="76"/>
      <c r="U28" s="76"/>
      <c r="V28" s="76"/>
      <c r="W28" s="77"/>
      <c r="X28" s="77"/>
      <c r="Y28" s="76"/>
      <c r="Z28" s="76"/>
      <c r="AA28" s="76"/>
    </row>
    <row r="29" spans="12:27" ht="12.75">
      <c r="L29" s="76"/>
      <c r="M29" s="76"/>
      <c r="N29" s="76"/>
      <c r="O29" s="76"/>
      <c r="P29" s="76"/>
      <c r="Q29" s="76"/>
      <c r="R29" s="76"/>
      <c r="S29" s="76"/>
      <c r="T29" s="76"/>
      <c r="U29" s="76"/>
      <c r="V29" s="76"/>
      <c r="W29" s="77"/>
      <c r="X29" s="77"/>
      <c r="Y29" s="76"/>
      <c r="Z29" s="76"/>
      <c r="AA29" s="76"/>
    </row>
    <row r="30" spans="12:27" ht="12.75">
      <c r="L30" s="76"/>
      <c r="M30" s="76"/>
      <c r="N30" s="76"/>
      <c r="O30" s="76"/>
      <c r="P30" s="76"/>
      <c r="Q30" s="76"/>
      <c r="R30" s="76"/>
      <c r="S30" s="76"/>
      <c r="T30" s="76"/>
      <c r="U30" s="76"/>
      <c r="V30" s="76"/>
      <c r="W30" s="76"/>
      <c r="X30" s="76"/>
      <c r="Y30" s="76"/>
      <c r="Z30" s="76"/>
      <c r="AA30" s="76"/>
    </row>
    <row r="31" spans="12:27" ht="12.75">
      <c r="L31" s="76"/>
      <c r="M31" s="76"/>
      <c r="N31" s="76"/>
      <c r="O31" s="76"/>
      <c r="P31" s="76"/>
      <c r="Q31" s="76"/>
      <c r="R31" s="76"/>
      <c r="S31" s="76"/>
      <c r="T31" s="76"/>
      <c r="U31" s="76"/>
      <c r="V31" s="76"/>
      <c r="W31" s="76"/>
      <c r="X31" s="76"/>
      <c r="Y31" s="76"/>
      <c r="Z31" s="76"/>
      <c r="AA31" s="76"/>
    </row>
    <row r="32" spans="12:27" ht="12.75">
      <c r="L32" s="76"/>
      <c r="M32" s="76"/>
      <c r="N32" s="76"/>
      <c r="O32" s="76"/>
      <c r="P32" s="76"/>
      <c r="Q32" s="76"/>
      <c r="R32" s="76"/>
      <c r="S32" s="76"/>
      <c r="T32" s="76"/>
      <c r="U32" s="76"/>
      <c r="V32" s="76"/>
      <c r="W32" s="76"/>
      <c r="X32" s="76"/>
      <c r="Y32" s="76"/>
      <c r="Z32" s="76"/>
      <c r="AA32" s="76"/>
    </row>
    <row r="33" spans="12:27" ht="12.75">
      <c r="L33" s="76"/>
      <c r="M33" s="76"/>
      <c r="N33" s="76"/>
      <c r="O33" s="76"/>
      <c r="P33" s="76"/>
      <c r="Q33" s="76"/>
      <c r="R33" s="76"/>
      <c r="S33" s="76"/>
      <c r="T33" s="76"/>
      <c r="U33" s="76"/>
      <c r="V33" s="76"/>
      <c r="W33" s="76"/>
      <c r="X33" s="76"/>
      <c r="Y33" s="76"/>
      <c r="Z33" s="76"/>
      <c r="AA33" s="76"/>
    </row>
    <row r="34" spans="12:27" ht="12.75">
      <c r="L34" s="76"/>
      <c r="M34" s="76"/>
      <c r="N34" s="76"/>
      <c r="O34" s="76"/>
      <c r="P34" s="76"/>
      <c r="Q34" s="76"/>
      <c r="R34" s="76"/>
      <c r="S34" s="76"/>
      <c r="T34" s="76"/>
      <c r="U34" s="76"/>
      <c r="V34" s="76"/>
      <c r="W34" s="76"/>
      <c r="X34" s="76"/>
      <c r="Y34" s="76"/>
      <c r="Z34" s="76"/>
      <c r="AA34" s="76"/>
    </row>
    <row r="35" spans="12:27" ht="12.75">
      <c r="L35" s="76"/>
      <c r="M35" s="76"/>
      <c r="N35" s="76"/>
      <c r="O35" s="76"/>
      <c r="P35" s="76"/>
      <c r="Q35" s="76"/>
      <c r="R35" s="76"/>
      <c r="S35" s="76"/>
      <c r="T35" s="76"/>
      <c r="U35" s="76"/>
      <c r="V35" s="76"/>
      <c r="W35" s="76"/>
      <c r="X35" s="76"/>
      <c r="Y35" s="76"/>
      <c r="Z35" s="76"/>
      <c r="AA35" s="76"/>
    </row>
    <row r="36" spans="12:27" ht="12.75">
      <c r="L36" s="76"/>
      <c r="M36" s="76"/>
      <c r="N36" s="76"/>
      <c r="O36" s="76"/>
      <c r="P36" s="76"/>
      <c r="Q36" s="76"/>
      <c r="R36" s="76"/>
      <c r="S36" s="76"/>
      <c r="T36" s="76"/>
      <c r="U36" s="76"/>
      <c r="V36" s="76"/>
      <c r="W36" s="76"/>
      <c r="X36" s="76"/>
      <c r="Y36" s="76"/>
      <c r="Z36" s="76"/>
      <c r="AA36" s="76"/>
    </row>
    <row r="37" spans="12:27" ht="12.75">
      <c r="L37" s="76"/>
      <c r="M37" s="76"/>
      <c r="N37" s="76"/>
      <c r="O37" s="76"/>
      <c r="P37" s="76"/>
      <c r="Q37" s="76"/>
      <c r="R37" s="76"/>
      <c r="S37" s="76"/>
      <c r="T37" s="76"/>
      <c r="U37" s="76"/>
      <c r="V37" s="76"/>
      <c r="W37" s="76"/>
      <c r="X37" s="76"/>
      <c r="Y37" s="76"/>
      <c r="Z37" s="76"/>
      <c r="AA37" s="76"/>
    </row>
    <row r="38" spans="12:27" ht="12.75">
      <c r="L38" s="76"/>
      <c r="M38" s="76"/>
      <c r="N38" s="76"/>
      <c r="O38" s="76"/>
      <c r="P38" s="76"/>
      <c r="Q38" s="76"/>
      <c r="R38" s="76"/>
      <c r="S38" s="76"/>
      <c r="T38" s="76"/>
      <c r="U38" s="76"/>
      <c r="V38" s="76"/>
      <c r="W38" s="76"/>
      <c r="X38" s="76"/>
      <c r="Y38" s="76"/>
      <c r="Z38" s="76"/>
      <c r="AA38" s="76"/>
    </row>
    <row r="39" spans="12:27" ht="12.75">
      <c r="L39" s="76"/>
      <c r="M39" s="76"/>
      <c r="N39" s="76"/>
      <c r="O39" s="76"/>
      <c r="P39" s="76"/>
      <c r="Q39" s="76"/>
      <c r="R39" s="76"/>
      <c r="S39" s="76"/>
      <c r="T39" s="76"/>
      <c r="U39" s="76"/>
      <c r="V39" s="76"/>
      <c r="W39" s="76"/>
      <c r="X39" s="76"/>
      <c r="Y39" s="76"/>
      <c r="Z39" s="76"/>
      <c r="AA39" s="76"/>
    </row>
    <row r="40" spans="12:27" ht="12.75">
      <c r="L40" s="76"/>
      <c r="M40" s="76"/>
      <c r="N40" s="76"/>
      <c r="O40" s="76"/>
      <c r="P40" s="76"/>
      <c r="Q40" s="76"/>
      <c r="R40" s="76"/>
      <c r="S40" s="76"/>
      <c r="T40" s="76"/>
      <c r="U40" s="76"/>
      <c r="V40" s="76"/>
      <c r="W40" s="76"/>
      <c r="X40" s="76"/>
      <c r="Y40" s="76"/>
      <c r="Z40" s="76"/>
      <c r="AA40" s="76"/>
    </row>
    <row r="41" spans="12:27" ht="12.75">
      <c r="L41" s="76"/>
      <c r="M41" s="76"/>
      <c r="N41" s="76"/>
      <c r="O41" s="76"/>
      <c r="P41" s="76"/>
      <c r="Q41" s="76"/>
      <c r="R41" s="76"/>
      <c r="S41" s="76"/>
      <c r="T41" s="76"/>
      <c r="U41" s="76"/>
      <c r="V41" s="76"/>
      <c r="W41" s="76"/>
      <c r="X41" s="76"/>
      <c r="Y41" s="76"/>
      <c r="Z41" s="76"/>
      <c r="AA41" s="76"/>
    </row>
    <row r="42" spans="12:27" ht="12.75">
      <c r="L42" s="76"/>
      <c r="M42" s="76"/>
      <c r="N42" s="76"/>
      <c r="O42" s="76"/>
      <c r="P42" s="76"/>
      <c r="Q42" s="76"/>
      <c r="R42" s="76"/>
      <c r="S42" s="76"/>
      <c r="T42" s="76"/>
      <c r="U42" s="76"/>
      <c r="V42" s="76"/>
      <c r="W42" s="76"/>
      <c r="X42" s="76"/>
      <c r="Y42" s="76"/>
      <c r="Z42" s="76"/>
      <c r="AA42" s="76"/>
    </row>
  </sheetData>
  <mergeCells count="4">
    <mergeCell ref="A16:D17"/>
    <mergeCell ref="Q4:V4"/>
    <mergeCell ref="E4:K4"/>
    <mergeCell ref="E16:K17"/>
  </mergeCells>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dimension ref="A1:AD34"/>
  <sheetViews>
    <sheetView workbookViewId="0" topLeftCell="B1">
      <selection activeCell="I13" sqref="I13"/>
    </sheetView>
  </sheetViews>
  <sheetFormatPr defaultColWidth="11.421875" defaultRowHeight="12.75"/>
  <cols>
    <col min="1" max="1" width="4.140625" style="368" customWidth="1"/>
    <col min="2" max="3" width="11.421875" style="368" customWidth="1"/>
    <col min="4" max="4" width="45.7109375" style="368" customWidth="1"/>
    <col min="5" max="22" width="4.7109375" style="368" customWidth="1"/>
    <col min="23" max="27" width="11.421875" style="368" customWidth="1"/>
  </cols>
  <sheetData>
    <row r="1" spans="1:27" s="13" customFormat="1" ht="18.75" thickBot="1">
      <c r="A1" s="398"/>
      <c r="B1" s="397" t="s">
        <v>481</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row>
    <row r="2" ht="13.5" thickBot="1"/>
    <row r="3" spans="5:22" ht="16.5" thickBot="1">
      <c r="E3" s="758" t="s">
        <v>234</v>
      </c>
      <c r="F3" s="759"/>
      <c r="G3" s="759"/>
      <c r="H3" s="759"/>
      <c r="I3" s="759"/>
      <c r="J3" s="759"/>
      <c r="K3" s="759"/>
      <c r="L3" s="759"/>
      <c r="M3" s="759"/>
      <c r="N3" s="759"/>
      <c r="O3" s="759"/>
      <c r="P3" s="759"/>
      <c r="Q3" s="759"/>
      <c r="R3" s="759"/>
      <c r="S3" s="759"/>
      <c r="T3" s="759"/>
      <c r="U3" s="759"/>
      <c r="V3" s="760"/>
    </row>
    <row r="4" spans="1:22" ht="16.5" thickBot="1">
      <c r="A4" s="391"/>
      <c r="B4" s="416" t="s">
        <v>11</v>
      </c>
      <c r="C4" s="417" t="s">
        <v>17</v>
      </c>
      <c r="D4" s="418"/>
      <c r="E4" s="720" t="s">
        <v>179</v>
      </c>
      <c r="F4" s="761"/>
      <c r="G4" s="761"/>
      <c r="H4" s="761"/>
      <c r="I4" s="761"/>
      <c r="J4" s="761"/>
      <c r="K4" s="720" t="s">
        <v>231</v>
      </c>
      <c r="L4" s="721"/>
      <c r="M4" s="721"/>
      <c r="N4" s="721"/>
      <c r="O4" s="721"/>
      <c r="P4" s="762"/>
      <c r="Q4" s="755" t="s">
        <v>232</v>
      </c>
      <c r="R4" s="756"/>
      <c r="S4" s="756"/>
      <c r="T4" s="756"/>
      <c r="U4" s="756"/>
      <c r="V4" s="757"/>
    </row>
    <row r="5" spans="1:22" ht="13.5" thickBot="1">
      <c r="A5" s="389"/>
      <c r="B5" s="398"/>
      <c r="C5" s="398"/>
      <c r="D5" s="398"/>
      <c r="E5" s="352" t="s">
        <v>23</v>
      </c>
      <c r="F5" s="384" t="s">
        <v>24</v>
      </c>
      <c r="G5" s="411" t="s">
        <v>25</v>
      </c>
      <c r="H5" s="440" t="s">
        <v>26</v>
      </c>
      <c r="I5" s="525" t="s">
        <v>27</v>
      </c>
      <c r="J5" s="440" t="s">
        <v>28</v>
      </c>
      <c r="K5" s="411" t="s">
        <v>23</v>
      </c>
      <c r="L5" s="440" t="s">
        <v>24</v>
      </c>
      <c r="M5" s="411" t="s">
        <v>25</v>
      </c>
      <c r="N5" s="440" t="s">
        <v>26</v>
      </c>
      <c r="O5" s="525" t="s">
        <v>27</v>
      </c>
      <c r="P5" s="440" t="s">
        <v>28</v>
      </c>
      <c r="Q5" s="411" t="s">
        <v>23</v>
      </c>
      <c r="R5" s="440" t="s">
        <v>24</v>
      </c>
      <c r="S5" s="411" t="s">
        <v>25</v>
      </c>
      <c r="T5" s="440" t="s">
        <v>26</v>
      </c>
      <c r="U5" s="525" t="s">
        <v>27</v>
      </c>
      <c r="V5" s="440" t="s">
        <v>28</v>
      </c>
    </row>
    <row r="6" spans="1:22" ht="13.5" thickBot="1">
      <c r="A6" s="392"/>
      <c r="B6" s="421" t="s">
        <v>12</v>
      </c>
      <c r="C6" s="422"/>
      <c r="D6" s="422"/>
      <c r="E6" s="526"/>
      <c r="F6" s="527"/>
      <c r="G6" s="527">
        <f>'CUARTEL GENERAL'!H112+'CUARTEL GENERAL'!H114</f>
        <v>0</v>
      </c>
      <c r="H6" s="527">
        <f>'CUARTEL GENERAL'!H115</f>
        <v>0</v>
      </c>
      <c r="I6" s="527"/>
      <c r="J6" s="527">
        <f>'CUARTEL GENERAL'!H117</f>
        <v>0</v>
      </c>
      <c r="K6" s="526"/>
      <c r="L6" s="527"/>
      <c r="M6" s="527"/>
      <c r="N6" s="527"/>
      <c r="O6" s="527"/>
      <c r="P6" s="528"/>
      <c r="Q6" s="526"/>
      <c r="R6" s="527"/>
      <c r="S6" s="527"/>
      <c r="T6" s="527"/>
      <c r="U6" s="527"/>
      <c r="V6" s="528"/>
    </row>
    <row r="7" spans="1:22" ht="13.5" thickBot="1">
      <c r="A7" s="391"/>
      <c r="B7" s="529" t="s">
        <v>13</v>
      </c>
      <c r="C7" s="398"/>
      <c r="D7" s="398"/>
      <c r="E7" s="530"/>
      <c r="F7" s="531"/>
      <c r="G7" s="531"/>
      <c r="H7" s="531"/>
      <c r="I7" s="531"/>
      <c r="J7" s="531">
        <f>LINEA!H37</f>
        <v>0</v>
      </c>
      <c r="K7" s="530"/>
      <c r="L7" s="531"/>
      <c r="M7" s="531"/>
      <c r="N7" s="531"/>
      <c r="O7" s="531"/>
      <c r="P7" s="532"/>
      <c r="Q7" s="530"/>
      <c r="R7" s="531"/>
      <c r="S7" s="531"/>
      <c r="T7" s="531"/>
      <c r="U7" s="531"/>
      <c r="V7" s="532"/>
    </row>
    <row r="8" spans="1:22" ht="13.5" thickBot="1">
      <c r="A8" s="389"/>
      <c r="B8" s="388" t="s">
        <v>14</v>
      </c>
      <c r="C8" s="398"/>
      <c r="D8" s="398"/>
      <c r="E8" s="530"/>
      <c r="F8" s="531"/>
      <c r="G8" s="531">
        <f>ELITE!K9+ELITE!L9+ELITE!K63</f>
        <v>0</v>
      </c>
      <c r="H8" s="531">
        <f>ELITE!H95+ELITE!K64-ELITE!K9-ELITE!L9</f>
        <v>0</v>
      </c>
      <c r="I8" s="531"/>
      <c r="J8" s="531">
        <f>ELITE!H98</f>
        <v>0</v>
      </c>
      <c r="K8" s="530"/>
      <c r="L8" s="531"/>
      <c r="M8" s="531"/>
      <c r="N8" s="531"/>
      <c r="O8" s="531"/>
      <c r="P8" s="532"/>
      <c r="Q8" s="530"/>
      <c r="R8" s="531"/>
      <c r="S8" s="531"/>
      <c r="T8" s="531"/>
      <c r="U8" s="531"/>
      <c r="V8" s="532"/>
    </row>
    <row r="9" spans="1:22" ht="13.5" thickBot="1">
      <c r="A9" s="395"/>
      <c r="B9" s="388" t="s">
        <v>15</v>
      </c>
      <c r="C9" s="388"/>
      <c r="D9" s="398"/>
      <c r="E9" s="530"/>
      <c r="F9" s="531"/>
      <c r="G9" s="531"/>
      <c r="H9" s="531">
        <f>'A.RAPIDO'!H42</f>
        <v>0</v>
      </c>
      <c r="I9" s="531"/>
      <c r="J9" s="531">
        <f>'A.RAPIDO'!H43</f>
        <v>0</v>
      </c>
      <c r="K9" s="530"/>
      <c r="L9" s="531"/>
      <c r="M9" s="531"/>
      <c r="N9" s="531"/>
      <c r="O9" s="531"/>
      <c r="P9" s="532"/>
      <c r="Q9" s="530"/>
      <c r="R9" s="531"/>
      <c r="S9" s="531"/>
      <c r="T9" s="531"/>
      <c r="U9" s="531"/>
      <c r="V9" s="532"/>
    </row>
    <row r="10" spans="1:30" ht="13.5" thickBot="1">
      <c r="A10" s="389"/>
      <c r="B10" s="388" t="s">
        <v>16</v>
      </c>
      <c r="C10" s="398"/>
      <c r="D10" s="398"/>
      <c r="E10" s="530"/>
      <c r="F10" s="531"/>
      <c r="G10" s="531"/>
      <c r="H10" s="531"/>
      <c r="I10" s="531"/>
      <c r="J10" s="531">
        <f>'A.PESADO'!H51</f>
        <v>0</v>
      </c>
      <c r="K10" s="530"/>
      <c r="L10" s="531"/>
      <c r="M10" s="531"/>
      <c r="N10" s="531"/>
      <c r="O10" s="531"/>
      <c r="P10" s="532"/>
      <c r="Q10" s="530"/>
      <c r="R10" s="531"/>
      <c r="S10" s="531"/>
      <c r="T10" s="531"/>
      <c r="U10" s="531"/>
      <c r="V10" s="532"/>
      <c r="Y10" s="432"/>
      <c r="Z10" s="548"/>
      <c r="AA10" s="390"/>
      <c r="AB10" s="16"/>
      <c r="AC10" s="16"/>
      <c r="AD10" s="14"/>
    </row>
    <row r="11" spans="1:30" ht="13.5" thickBot="1">
      <c r="A11" s="389"/>
      <c r="B11" s="388" t="s">
        <v>18</v>
      </c>
      <c r="C11" s="398"/>
      <c r="D11" s="398"/>
      <c r="E11" s="530">
        <f aca="true" t="shared" si="0" ref="E11:J11">SUM(E12:E17)</f>
        <v>0</v>
      </c>
      <c r="F11" s="531">
        <f t="shared" si="0"/>
        <v>0</v>
      </c>
      <c r="G11" s="531">
        <f t="shared" si="0"/>
        <v>0</v>
      </c>
      <c r="H11" s="531">
        <f t="shared" si="0"/>
        <v>0</v>
      </c>
      <c r="I11" s="531">
        <f t="shared" si="0"/>
        <v>0</v>
      </c>
      <c r="J11" s="531">
        <f t="shared" si="0"/>
        <v>0</v>
      </c>
      <c r="K11" s="530"/>
      <c r="L11" s="531"/>
      <c r="M11" s="531"/>
      <c r="N11" s="531"/>
      <c r="O11" s="531"/>
      <c r="P11" s="532"/>
      <c r="Q11" s="530"/>
      <c r="R11" s="531"/>
      <c r="S11" s="531"/>
      <c r="T11" s="531"/>
      <c r="U11" s="531"/>
      <c r="V11" s="532"/>
      <c r="Y11" s="115"/>
      <c r="Z11" s="115"/>
      <c r="AA11" s="401"/>
      <c r="AB11" s="30"/>
      <c r="AC11" s="16"/>
      <c r="AD11" s="14"/>
    </row>
    <row r="12" spans="1:30" ht="12.75">
      <c r="A12" s="393">
        <v>1</v>
      </c>
      <c r="B12" s="111"/>
      <c r="C12" s="390"/>
      <c r="D12" s="390"/>
      <c r="E12" s="533"/>
      <c r="F12" s="534"/>
      <c r="G12" s="534"/>
      <c r="H12" s="534"/>
      <c r="I12" s="534"/>
      <c r="J12" s="534"/>
      <c r="K12" s="533"/>
      <c r="L12" s="534"/>
      <c r="M12" s="534"/>
      <c r="N12" s="534"/>
      <c r="O12" s="534"/>
      <c r="P12" s="535"/>
      <c r="Q12" s="533"/>
      <c r="R12" s="534"/>
      <c r="S12" s="534"/>
      <c r="T12" s="534"/>
      <c r="U12" s="534"/>
      <c r="V12" s="535"/>
      <c r="Y12" s="115"/>
      <c r="Z12" s="115"/>
      <c r="AA12" s="401"/>
      <c r="AB12" s="30"/>
      <c r="AC12" s="16"/>
      <c r="AD12" s="14"/>
    </row>
    <row r="13" spans="1:30" ht="12.75">
      <c r="A13" s="393">
        <v>2</v>
      </c>
      <c r="B13" s="111"/>
      <c r="C13" s="390"/>
      <c r="D13" s="390"/>
      <c r="E13" s="533"/>
      <c r="F13" s="534"/>
      <c r="G13" s="534"/>
      <c r="H13" s="534"/>
      <c r="I13" s="534"/>
      <c r="J13" s="534"/>
      <c r="K13" s="533"/>
      <c r="L13" s="534"/>
      <c r="M13" s="534"/>
      <c r="N13" s="534"/>
      <c r="O13" s="534"/>
      <c r="P13" s="535"/>
      <c r="Q13" s="533"/>
      <c r="R13" s="534"/>
      <c r="S13" s="534"/>
      <c r="T13" s="534"/>
      <c r="U13" s="534"/>
      <c r="V13" s="535"/>
      <c r="Y13" s="115"/>
      <c r="Z13" s="115"/>
      <c r="AA13" s="401"/>
      <c r="AB13" s="30"/>
      <c r="AC13" s="16"/>
      <c r="AD13" s="14"/>
    </row>
    <row r="14" spans="1:30" ht="12.75">
      <c r="A14" s="393">
        <v>3</v>
      </c>
      <c r="B14" s="111"/>
      <c r="C14" s="390"/>
      <c r="D14" s="390"/>
      <c r="E14" s="533"/>
      <c r="F14" s="534"/>
      <c r="G14" s="534"/>
      <c r="H14" s="534"/>
      <c r="I14" s="534"/>
      <c r="J14" s="534"/>
      <c r="K14" s="533"/>
      <c r="L14" s="534"/>
      <c r="M14" s="534"/>
      <c r="N14" s="534"/>
      <c r="O14" s="534"/>
      <c r="P14" s="535"/>
      <c r="Q14" s="533"/>
      <c r="R14" s="534"/>
      <c r="S14" s="534"/>
      <c r="T14" s="534"/>
      <c r="U14" s="534"/>
      <c r="V14" s="535"/>
      <c r="Y14" s="115"/>
      <c r="Z14" s="115"/>
      <c r="AA14" s="401"/>
      <c r="AB14" s="30"/>
      <c r="AC14" s="16"/>
      <c r="AD14" s="14"/>
    </row>
    <row r="15" spans="1:30" ht="12.75">
      <c r="A15" s="393">
        <v>4</v>
      </c>
      <c r="B15" s="111"/>
      <c r="C15" s="390"/>
      <c r="D15" s="390"/>
      <c r="E15" s="533"/>
      <c r="F15" s="534"/>
      <c r="G15" s="534"/>
      <c r="H15" s="534"/>
      <c r="I15" s="534"/>
      <c r="J15" s="534"/>
      <c r="K15" s="533"/>
      <c r="L15" s="534"/>
      <c r="M15" s="534"/>
      <c r="N15" s="534"/>
      <c r="O15" s="534"/>
      <c r="P15" s="535"/>
      <c r="Q15" s="533"/>
      <c r="R15" s="534"/>
      <c r="S15" s="534"/>
      <c r="T15" s="534"/>
      <c r="U15" s="534"/>
      <c r="V15" s="535"/>
      <c r="Y15" s="390"/>
      <c r="Z15" s="390"/>
      <c r="AA15" s="401"/>
      <c r="AB15" s="30"/>
      <c r="AC15" s="16"/>
      <c r="AD15" s="14"/>
    </row>
    <row r="16" spans="1:30" ht="12.75">
      <c r="A16" s="393">
        <v>5</v>
      </c>
      <c r="B16" s="111"/>
      <c r="C16" s="390"/>
      <c r="D16" s="390"/>
      <c r="E16" s="533"/>
      <c r="F16" s="534"/>
      <c r="G16" s="534"/>
      <c r="H16" s="534"/>
      <c r="I16" s="534"/>
      <c r="J16" s="534"/>
      <c r="K16" s="533"/>
      <c r="L16" s="534"/>
      <c r="M16" s="534"/>
      <c r="N16" s="534"/>
      <c r="O16" s="534"/>
      <c r="P16" s="535"/>
      <c r="Q16" s="533"/>
      <c r="R16" s="534"/>
      <c r="S16" s="534"/>
      <c r="T16" s="534"/>
      <c r="U16" s="534"/>
      <c r="V16" s="535"/>
      <c r="Y16" s="390"/>
      <c r="Z16" s="390"/>
      <c r="AA16" s="390"/>
      <c r="AB16" s="16"/>
      <c r="AC16" s="16"/>
      <c r="AD16" s="14"/>
    </row>
    <row r="17" spans="1:30" ht="12.75">
      <c r="A17" s="393">
        <v>6</v>
      </c>
      <c r="B17" s="111"/>
      <c r="C17" s="390"/>
      <c r="D17" s="390"/>
      <c r="E17" s="533"/>
      <c r="F17" s="534"/>
      <c r="G17" s="534"/>
      <c r="H17" s="534"/>
      <c r="I17" s="534"/>
      <c r="J17" s="534"/>
      <c r="K17" s="533"/>
      <c r="L17" s="534"/>
      <c r="M17" s="534"/>
      <c r="N17" s="534"/>
      <c r="O17" s="534"/>
      <c r="P17" s="535"/>
      <c r="Q17" s="533"/>
      <c r="R17" s="534"/>
      <c r="S17" s="534"/>
      <c r="T17" s="534"/>
      <c r="U17" s="534"/>
      <c r="V17" s="535"/>
      <c r="Y17" s="390"/>
      <c r="Z17" s="390"/>
      <c r="AA17" s="390"/>
      <c r="AB17" s="16"/>
      <c r="AC17" s="16"/>
      <c r="AD17" s="14"/>
    </row>
    <row r="18" spans="1:30" ht="13.5" thickBot="1">
      <c r="A18" s="394"/>
      <c r="B18" s="111"/>
      <c r="C18" s="390"/>
      <c r="D18" s="390"/>
      <c r="E18" s="536"/>
      <c r="F18" s="537"/>
      <c r="G18" s="537"/>
      <c r="H18" s="537"/>
      <c r="I18" s="537"/>
      <c r="J18" s="537"/>
      <c r="K18" s="536"/>
      <c r="L18" s="537"/>
      <c r="M18" s="537"/>
      <c r="N18" s="537"/>
      <c r="O18" s="537"/>
      <c r="P18" s="538"/>
      <c r="Q18" s="536"/>
      <c r="R18" s="537"/>
      <c r="S18" s="537"/>
      <c r="T18" s="537"/>
      <c r="U18" s="537"/>
      <c r="V18" s="538"/>
      <c r="Y18" s="390"/>
      <c r="Z18" s="390"/>
      <c r="AA18" s="390"/>
      <c r="AB18" s="16"/>
      <c r="AC18" s="16"/>
      <c r="AD18" s="14"/>
    </row>
    <row r="19" spans="1:30" ht="13.5" thickBot="1">
      <c r="A19" s="389"/>
      <c r="B19" s="388" t="s">
        <v>1</v>
      </c>
      <c r="C19" s="398"/>
      <c r="D19" s="398"/>
      <c r="E19" s="381">
        <f aca="true" t="shared" si="1" ref="E19:V19">E6+E7+E8+E9+E10+E11</f>
        <v>0</v>
      </c>
      <c r="F19" s="381">
        <f t="shared" si="1"/>
        <v>0</v>
      </c>
      <c r="G19" s="381">
        <f t="shared" si="1"/>
        <v>0</v>
      </c>
      <c r="H19" s="381">
        <f t="shared" si="1"/>
        <v>0</v>
      </c>
      <c r="I19" s="381">
        <f t="shared" si="1"/>
        <v>0</v>
      </c>
      <c r="J19" s="381">
        <f t="shared" si="1"/>
        <v>0</v>
      </c>
      <c r="K19" s="381">
        <f t="shared" si="1"/>
        <v>0</v>
      </c>
      <c r="L19" s="381">
        <f t="shared" si="1"/>
        <v>0</v>
      </c>
      <c r="M19" s="381">
        <f t="shared" si="1"/>
        <v>0</v>
      </c>
      <c r="N19" s="381">
        <f t="shared" si="1"/>
        <v>0</v>
      </c>
      <c r="O19" s="381">
        <f t="shared" si="1"/>
        <v>0</v>
      </c>
      <c r="P19" s="381">
        <f t="shared" si="1"/>
        <v>0</v>
      </c>
      <c r="Q19" s="381">
        <f t="shared" si="1"/>
        <v>0</v>
      </c>
      <c r="R19" s="381">
        <f t="shared" si="1"/>
        <v>0</v>
      </c>
      <c r="S19" s="381">
        <f t="shared" si="1"/>
        <v>0</v>
      </c>
      <c r="T19" s="381">
        <f t="shared" si="1"/>
        <v>0</v>
      </c>
      <c r="U19" s="381">
        <f t="shared" si="1"/>
        <v>0</v>
      </c>
      <c r="V19" s="381">
        <f t="shared" si="1"/>
        <v>0</v>
      </c>
      <c r="Y19" s="390"/>
      <c r="Z19" s="390"/>
      <c r="AA19" s="390"/>
      <c r="AB19" s="16"/>
      <c r="AC19" s="16"/>
      <c r="AD19" s="14"/>
    </row>
    <row r="20" spans="1:30" ht="13.5" thickBot="1">
      <c r="A20" s="389"/>
      <c r="B20" s="388" t="s">
        <v>116</v>
      </c>
      <c r="C20" s="398"/>
      <c r="D20" s="398"/>
      <c r="E20" s="420">
        <f>E19*4.17</f>
        <v>0</v>
      </c>
      <c r="F20" s="420">
        <f>F19*3.33</f>
        <v>0</v>
      </c>
      <c r="G20" s="420">
        <f>G19*2.5</f>
        <v>0</v>
      </c>
      <c r="H20" s="420">
        <f>H19*1.67</f>
        <v>0</v>
      </c>
      <c r="I20" s="420">
        <f>I19*0.83</f>
        <v>0</v>
      </c>
      <c r="J20" s="420">
        <f>J19*0</f>
        <v>0</v>
      </c>
      <c r="K20" s="420">
        <f>K19*4.58</f>
        <v>0</v>
      </c>
      <c r="L20" s="420">
        <f>L19*4.17</f>
        <v>0</v>
      </c>
      <c r="M20" s="420">
        <f>M19*3.75</f>
        <v>0</v>
      </c>
      <c r="N20" s="420">
        <f>N19*3.33</f>
        <v>0</v>
      </c>
      <c r="O20" s="420">
        <f>O19*2.92</f>
        <v>0</v>
      </c>
      <c r="P20" s="420">
        <f>P19*2.5</f>
        <v>0</v>
      </c>
      <c r="Q20" s="420">
        <f>Q19*4.86</f>
        <v>0</v>
      </c>
      <c r="R20" s="420">
        <f>R19*4.44</f>
        <v>0</v>
      </c>
      <c r="S20" s="420">
        <f>S19*3.75</f>
        <v>0</v>
      </c>
      <c r="T20" s="420">
        <f>T19*2.78</f>
        <v>0</v>
      </c>
      <c r="U20" s="420">
        <f>U19*1.53</f>
        <v>0</v>
      </c>
      <c r="V20" s="427">
        <f>V19*0</f>
        <v>0</v>
      </c>
      <c r="Y20" s="390"/>
      <c r="Z20" s="390"/>
      <c r="AA20" s="390"/>
      <c r="AB20" s="16"/>
      <c r="AC20" s="16"/>
      <c r="AD20" s="14"/>
    </row>
    <row r="21" spans="1:30" ht="12.75" customHeight="1">
      <c r="A21" s="711" t="s">
        <v>43</v>
      </c>
      <c r="B21" s="712"/>
      <c r="C21" s="712"/>
      <c r="D21" s="713"/>
      <c r="E21" s="749" t="e">
        <f>SUM(E20:V20)/(SUM(E19:V19))</f>
        <v>#DIV/0!</v>
      </c>
      <c r="F21" s="750"/>
      <c r="G21" s="750"/>
      <c r="H21" s="750"/>
      <c r="I21" s="750"/>
      <c r="J21" s="750"/>
      <c r="K21" s="750"/>
      <c r="L21" s="750"/>
      <c r="M21" s="750"/>
      <c r="N21" s="750"/>
      <c r="O21" s="750"/>
      <c r="P21" s="750"/>
      <c r="Q21" s="750"/>
      <c r="R21" s="750"/>
      <c r="S21" s="750"/>
      <c r="T21" s="750"/>
      <c r="U21" s="750"/>
      <c r="V21" s="751"/>
      <c r="Y21" s="390"/>
      <c r="Z21" s="390"/>
      <c r="AA21" s="390"/>
      <c r="AB21" s="16"/>
      <c r="AC21" s="16"/>
      <c r="AD21" s="14"/>
    </row>
    <row r="22" spans="1:30" ht="13.5" customHeight="1" thickBot="1">
      <c r="A22" s="690"/>
      <c r="B22" s="691"/>
      <c r="C22" s="691"/>
      <c r="D22" s="692"/>
      <c r="E22" s="752"/>
      <c r="F22" s="753"/>
      <c r="G22" s="753"/>
      <c r="H22" s="753"/>
      <c r="I22" s="753"/>
      <c r="J22" s="753"/>
      <c r="K22" s="753"/>
      <c r="L22" s="753"/>
      <c r="M22" s="753"/>
      <c r="N22" s="753"/>
      <c r="O22" s="753"/>
      <c r="P22" s="753"/>
      <c r="Q22" s="753"/>
      <c r="R22" s="753"/>
      <c r="S22" s="753"/>
      <c r="T22" s="753"/>
      <c r="U22" s="753"/>
      <c r="V22" s="754"/>
      <c r="Y22" s="390"/>
      <c r="Z22" s="390"/>
      <c r="AA22" s="390"/>
      <c r="AB22" s="16"/>
      <c r="AC22" s="16"/>
      <c r="AD22" s="14"/>
    </row>
    <row r="23" spans="23:30" ht="12.75">
      <c r="W23" s="539"/>
      <c r="X23" s="390"/>
      <c r="Y23" s="390"/>
      <c r="Z23" s="548"/>
      <c r="AA23" s="390"/>
      <c r="AB23" s="16"/>
      <c r="AC23" s="75"/>
      <c r="AD23" s="14"/>
    </row>
    <row r="24" spans="23:30" ht="18.75">
      <c r="W24" s="115"/>
      <c r="X24" s="549"/>
      <c r="Y24" s="549"/>
      <c r="Z24" s="115"/>
      <c r="AA24" s="549"/>
      <c r="AB24" s="15"/>
      <c r="AC24" s="16"/>
      <c r="AD24" s="14"/>
    </row>
    <row r="25" spans="23:30" ht="12.75">
      <c r="W25" s="115"/>
      <c r="X25" s="401"/>
      <c r="Y25" s="401"/>
      <c r="Z25" s="115"/>
      <c r="AA25" s="401"/>
      <c r="AB25" s="30"/>
      <c r="AC25" s="16"/>
      <c r="AD25" s="14"/>
    </row>
    <row r="26" spans="23:30" ht="12.75">
      <c r="W26" s="115"/>
      <c r="X26" s="401"/>
      <c r="Y26" s="401"/>
      <c r="Z26" s="115"/>
      <c r="AA26" s="401"/>
      <c r="AB26" s="30"/>
      <c r="AC26" s="16"/>
      <c r="AD26" s="14"/>
    </row>
    <row r="27" spans="23:30" ht="12.75">
      <c r="W27" s="115"/>
      <c r="X27" s="401"/>
      <c r="Y27" s="401"/>
      <c r="Z27" s="115"/>
      <c r="AA27" s="401"/>
      <c r="AB27" s="30"/>
      <c r="AC27" s="16"/>
      <c r="AD27" s="14"/>
    </row>
    <row r="28" spans="23:30" ht="12.75">
      <c r="W28" s="115"/>
      <c r="X28" s="401"/>
      <c r="Y28" s="401"/>
      <c r="Z28" s="115"/>
      <c r="AA28" s="401"/>
      <c r="AB28" s="30"/>
      <c r="AC28" s="16"/>
      <c r="AD28" s="14"/>
    </row>
    <row r="29" spans="23:30" ht="12.75">
      <c r="W29" s="115"/>
      <c r="X29" s="401"/>
      <c r="Y29" s="401"/>
      <c r="Z29" s="115"/>
      <c r="AA29" s="401"/>
      <c r="AB29" s="30"/>
      <c r="AC29" s="16"/>
      <c r="AD29" s="14"/>
    </row>
    <row r="30" spans="23:30" ht="12.75">
      <c r="W30" s="115"/>
      <c r="X30" s="401"/>
      <c r="Y30" s="401"/>
      <c r="Z30" s="115"/>
      <c r="AA30" s="401"/>
      <c r="AB30" s="30"/>
      <c r="AC30" s="16"/>
      <c r="AD30" s="14"/>
    </row>
    <row r="31" spans="23:30" ht="12.75">
      <c r="W31" s="390"/>
      <c r="X31" s="401"/>
      <c r="Y31" s="401"/>
      <c r="Z31" s="390"/>
      <c r="AA31" s="401"/>
      <c r="AB31" s="30"/>
      <c r="AC31" s="17"/>
      <c r="AD31" s="14"/>
    </row>
    <row r="32" spans="23:30" ht="12.75">
      <c r="W32" s="390"/>
      <c r="X32" s="390"/>
      <c r="AB32" s="14"/>
      <c r="AC32" s="14"/>
      <c r="AD32" s="14"/>
    </row>
    <row r="33" spans="23:24" ht="12.75">
      <c r="W33" s="390"/>
      <c r="X33" s="390"/>
    </row>
    <row r="34" spans="23:24" ht="12.75">
      <c r="W34" s="390"/>
      <c r="X34" s="390"/>
    </row>
  </sheetData>
  <mergeCells count="6">
    <mergeCell ref="A21:D22"/>
    <mergeCell ref="E21:V22"/>
    <mergeCell ref="Q4:V4"/>
    <mergeCell ref="E3:V3"/>
    <mergeCell ref="E4:J4"/>
    <mergeCell ref="K4:P4"/>
  </mergeCells>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dimension ref="A1:AD47"/>
  <sheetViews>
    <sheetView workbookViewId="0" topLeftCell="A19">
      <selection activeCell="D46" sqref="D46"/>
    </sheetView>
  </sheetViews>
  <sheetFormatPr defaultColWidth="11.421875" defaultRowHeight="12.75"/>
  <cols>
    <col min="1" max="1" width="4.140625" style="368" customWidth="1"/>
    <col min="2" max="3" width="11.421875" style="368" customWidth="1"/>
    <col min="4" max="4" width="45.7109375" style="368" customWidth="1"/>
    <col min="5" max="22" width="4.7109375" style="368" customWidth="1"/>
  </cols>
  <sheetData>
    <row r="1" spans="1:22" s="13" customFormat="1" ht="18.75" thickBot="1">
      <c r="A1" s="398"/>
      <c r="B1" s="397" t="s">
        <v>480</v>
      </c>
      <c r="C1" s="398"/>
      <c r="D1" s="398"/>
      <c r="E1" s="398"/>
      <c r="F1" s="398"/>
      <c r="G1" s="398"/>
      <c r="H1" s="398"/>
      <c r="I1" s="398"/>
      <c r="J1" s="398"/>
      <c r="K1" s="398"/>
      <c r="L1" s="398"/>
      <c r="M1" s="398"/>
      <c r="N1" s="398"/>
      <c r="O1" s="398"/>
      <c r="P1" s="398"/>
      <c r="Q1" s="398"/>
      <c r="R1" s="398"/>
      <c r="S1" s="398"/>
      <c r="T1" s="398"/>
      <c r="U1" s="398"/>
      <c r="V1" s="398"/>
    </row>
    <row r="2" spans="23:27" ht="13.5" thickBot="1">
      <c r="W2" s="76"/>
      <c r="X2" s="76"/>
      <c r="Y2" s="76"/>
      <c r="Z2" s="76"/>
      <c r="AA2" s="76"/>
    </row>
    <row r="3" spans="5:27" ht="16.5" thickBot="1">
      <c r="E3" s="768" t="s">
        <v>234</v>
      </c>
      <c r="F3" s="769"/>
      <c r="G3" s="769"/>
      <c r="H3" s="769"/>
      <c r="I3" s="769"/>
      <c r="J3" s="769"/>
      <c r="K3" s="769"/>
      <c r="L3" s="769"/>
      <c r="M3" s="769"/>
      <c r="N3" s="769"/>
      <c r="O3" s="769"/>
      <c r="P3" s="769"/>
      <c r="Q3" s="769"/>
      <c r="R3" s="769"/>
      <c r="S3" s="769"/>
      <c r="T3" s="769"/>
      <c r="U3" s="769"/>
      <c r="V3" s="770"/>
      <c r="W3" s="76"/>
      <c r="X3" s="76"/>
      <c r="Y3" s="76"/>
      <c r="Z3" s="76"/>
      <c r="AA3" s="76"/>
    </row>
    <row r="4" spans="1:27" ht="16.5" thickBot="1">
      <c r="A4" s="391"/>
      <c r="B4" s="416" t="s">
        <v>11</v>
      </c>
      <c r="C4" s="417" t="s">
        <v>17</v>
      </c>
      <c r="D4" s="418"/>
      <c r="E4" s="720" t="s">
        <v>179</v>
      </c>
      <c r="F4" s="761"/>
      <c r="G4" s="761"/>
      <c r="H4" s="761"/>
      <c r="I4" s="761"/>
      <c r="J4" s="761"/>
      <c r="K4" s="720" t="s">
        <v>231</v>
      </c>
      <c r="L4" s="721"/>
      <c r="M4" s="721"/>
      <c r="N4" s="721"/>
      <c r="O4" s="721"/>
      <c r="P4" s="762"/>
      <c r="Q4" s="720" t="s">
        <v>232</v>
      </c>
      <c r="R4" s="695"/>
      <c r="S4" s="695"/>
      <c r="T4" s="695"/>
      <c r="U4" s="695"/>
      <c r="V4" s="694"/>
      <c r="W4" s="76"/>
      <c r="X4" s="76"/>
      <c r="Y4" s="76"/>
      <c r="Z4" s="76"/>
      <c r="AA4" s="76"/>
    </row>
    <row r="5" spans="1:27" ht="13.5" thickBot="1">
      <c r="A5" s="389"/>
      <c r="B5" s="398"/>
      <c r="C5" s="398"/>
      <c r="D5" s="398"/>
      <c r="E5" s="352" t="s">
        <v>23</v>
      </c>
      <c r="F5" s="384" t="s">
        <v>24</v>
      </c>
      <c r="G5" s="411" t="s">
        <v>25</v>
      </c>
      <c r="H5" s="440" t="s">
        <v>26</v>
      </c>
      <c r="I5" s="525" t="s">
        <v>27</v>
      </c>
      <c r="J5" s="440" t="s">
        <v>28</v>
      </c>
      <c r="K5" s="411" t="s">
        <v>23</v>
      </c>
      <c r="L5" s="440" t="s">
        <v>24</v>
      </c>
      <c r="M5" s="411" t="s">
        <v>25</v>
      </c>
      <c r="N5" s="440" t="s">
        <v>26</v>
      </c>
      <c r="O5" s="525" t="s">
        <v>27</v>
      </c>
      <c r="P5" s="440" t="s">
        <v>28</v>
      </c>
      <c r="Q5" s="411" t="s">
        <v>23</v>
      </c>
      <c r="R5" s="440" t="s">
        <v>24</v>
      </c>
      <c r="S5" s="540" t="s">
        <v>25</v>
      </c>
      <c r="T5" s="541" t="s">
        <v>26</v>
      </c>
      <c r="U5" s="542" t="s">
        <v>27</v>
      </c>
      <c r="V5" s="541" t="s">
        <v>28</v>
      </c>
      <c r="W5" s="76"/>
      <c r="X5" s="76"/>
      <c r="Y5" s="76"/>
      <c r="Z5" s="76"/>
      <c r="AA5" s="76"/>
    </row>
    <row r="6" spans="1:27" ht="13.5" thickBot="1">
      <c r="A6" s="392"/>
      <c r="B6" s="421" t="s">
        <v>12</v>
      </c>
      <c r="C6" s="422"/>
      <c r="D6" s="422"/>
      <c r="E6" s="526"/>
      <c r="F6" s="527"/>
      <c r="G6" s="527">
        <f>'CUARTEL GENERAL'!H112</f>
        <v>0</v>
      </c>
      <c r="H6" s="527">
        <f>'CUARTEL GENERAL'!H113</f>
        <v>0</v>
      </c>
      <c r="I6" s="527"/>
      <c r="J6" s="527">
        <f>'CUARTEL GENERAL'!H116</f>
        <v>0</v>
      </c>
      <c r="K6" s="526"/>
      <c r="L6" s="527"/>
      <c r="M6" s="527"/>
      <c r="N6" s="527"/>
      <c r="O6" s="527"/>
      <c r="P6" s="528"/>
      <c r="Q6" s="526"/>
      <c r="R6" s="527"/>
      <c r="S6" s="543"/>
      <c r="T6" s="543"/>
      <c r="U6" s="543"/>
      <c r="V6" s="544"/>
      <c r="W6" s="76"/>
      <c r="X6" s="76"/>
      <c r="Y6" s="76"/>
      <c r="Z6" s="76"/>
      <c r="AA6" s="76"/>
    </row>
    <row r="7" spans="1:27" ht="13.5" thickBot="1">
      <c r="A7" s="391"/>
      <c r="B7" s="529" t="s">
        <v>13</v>
      </c>
      <c r="C7" s="398"/>
      <c r="D7" s="398"/>
      <c r="E7" s="530"/>
      <c r="F7" s="531"/>
      <c r="G7" s="531"/>
      <c r="H7" s="531"/>
      <c r="I7" s="531"/>
      <c r="J7" s="531">
        <f>LINEA!H37</f>
        <v>0</v>
      </c>
      <c r="K7" s="530"/>
      <c r="L7" s="531"/>
      <c r="M7" s="531"/>
      <c r="N7" s="531"/>
      <c r="O7" s="531"/>
      <c r="P7" s="532"/>
      <c r="Q7" s="530"/>
      <c r="R7" s="531"/>
      <c r="S7" s="545"/>
      <c r="T7" s="545"/>
      <c r="U7" s="545"/>
      <c r="V7" s="546"/>
      <c r="W7" s="76"/>
      <c r="X7" s="76"/>
      <c r="Y7" s="76"/>
      <c r="Z7" s="76"/>
      <c r="AA7" s="76"/>
    </row>
    <row r="8" spans="1:27" ht="13.5" thickBot="1">
      <c r="A8" s="389"/>
      <c r="B8" s="388" t="s">
        <v>14</v>
      </c>
      <c r="C8" s="398"/>
      <c r="D8" s="398"/>
      <c r="E8" s="530"/>
      <c r="F8" s="531"/>
      <c r="G8" s="531"/>
      <c r="H8" s="531">
        <f>ELITE!H95</f>
        <v>0</v>
      </c>
      <c r="I8" s="531"/>
      <c r="J8" s="531">
        <f>ELITE!H99</f>
        <v>0</v>
      </c>
      <c r="K8" s="530"/>
      <c r="L8" s="531"/>
      <c r="M8" s="531"/>
      <c r="N8" s="531"/>
      <c r="O8" s="531"/>
      <c r="P8" s="532"/>
      <c r="Q8" s="530"/>
      <c r="R8" s="531"/>
      <c r="S8" s="545"/>
      <c r="T8" s="545"/>
      <c r="U8" s="545"/>
      <c r="V8" s="546"/>
      <c r="W8" s="76"/>
      <c r="X8" s="76"/>
      <c r="Y8" s="76"/>
      <c r="Z8" s="76"/>
      <c r="AA8" s="76"/>
    </row>
    <row r="9" spans="1:27" ht="13.5" thickBot="1">
      <c r="A9" s="395"/>
      <c r="B9" s="388" t="s">
        <v>15</v>
      </c>
      <c r="C9" s="388"/>
      <c r="D9" s="398"/>
      <c r="E9" s="530"/>
      <c r="F9" s="531"/>
      <c r="G9" s="531"/>
      <c r="H9" s="531"/>
      <c r="I9" s="531"/>
      <c r="J9" s="531">
        <f>'A.RAPIDO'!H44</f>
        <v>0</v>
      </c>
      <c r="K9" s="530"/>
      <c r="L9" s="531"/>
      <c r="M9" s="531"/>
      <c r="N9" s="531"/>
      <c r="O9" s="531"/>
      <c r="P9" s="532"/>
      <c r="Q9" s="530"/>
      <c r="R9" s="531"/>
      <c r="S9" s="545"/>
      <c r="T9" s="545"/>
      <c r="U9" s="545"/>
      <c r="V9" s="546"/>
      <c r="W9" s="76"/>
      <c r="X9" s="76"/>
      <c r="Y9" s="76"/>
      <c r="Z9" s="76"/>
      <c r="AA9" s="76"/>
    </row>
    <row r="10" spans="1:30" ht="13.5" thickBot="1">
      <c r="A10" s="389"/>
      <c r="B10" s="388" t="s">
        <v>16</v>
      </c>
      <c r="C10" s="398"/>
      <c r="D10" s="398"/>
      <c r="E10" s="530"/>
      <c r="F10" s="531"/>
      <c r="G10" s="531"/>
      <c r="H10" s="531"/>
      <c r="I10" s="531"/>
      <c r="J10" s="531">
        <f>'A.PESADO'!H51</f>
        <v>0</v>
      </c>
      <c r="K10" s="530"/>
      <c r="L10" s="531"/>
      <c r="M10" s="531"/>
      <c r="N10" s="531"/>
      <c r="O10" s="531"/>
      <c r="P10" s="532"/>
      <c r="Q10" s="530"/>
      <c r="R10" s="531"/>
      <c r="S10" s="545"/>
      <c r="T10" s="545"/>
      <c r="U10" s="545"/>
      <c r="V10" s="546"/>
      <c r="W10" s="76"/>
      <c r="X10" s="76"/>
      <c r="Y10" s="87"/>
      <c r="Z10" s="83"/>
      <c r="AA10" s="77"/>
      <c r="AB10" s="16"/>
      <c r="AC10" s="16"/>
      <c r="AD10" s="14"/>
    </row>
    <row r="11" spans="1:30" ht="13.5" thickBot="1">
      <c r="A11" s="389"/>
      <c r="B11" s="388" t="s">
        <v>18</v>
      </c>
      <c r="C11" s="398"/>
      <c r="D11" s="398"/>
      <c r="E11" s="530">
        <f aca="true" t="shared" si="0" ref="E11:J11">SUM(E12:E17)</f>
        <v>0</v>
      </c>
      <c r="F11" s="531">
        <f t="shared" si="0"/>
        <v>0</v>
      </c>
      <c r="G11" s="531">
        <f t="shared" si="0"/>
        <v>0</v>
      </c>
      <c r="H11" s="531">
        <f t="shared" si="0"/>
        <v>0</v>
      </c>
      <c r="I11" s="531">
        <f t="shared" si="0"/>
        <v>0</v>
      </c>
      <c r="J11" s="531">
        <f t="shared" si="0"/>
        <v>0</v>
      </c>
      <c r="K11" s="530"/>
      <c r="L11" s="531"/>
      <c r="M11" s="531"/>
      <c r="N11" s="531"/>
      <c r="O11" s="531"/>
      <c r="P11" s="532"/>
      <c r="Q11" s="530"/>
      <c r="R11" s="531"/>
      <c r="S11" s="545"/>
      <c r="T11" s="545"/>
      <c r="U11" s="545"/>
      <c r="V11" s="546"/>
      <c r="W11" s="76"/>
      <c r="X11" s="76"/>
      <c r="Y11" s="85"/>
      <c r="Z11" s="85"/>
      <c r="AA11" s="79"/>
      <c r="AB11" s="30"/>
      <c r="AC11" s="16"/>
      <c r="AD11" s="14"/>
    </row>
    <row r="12" spans="1:30" ht="12.75">
      <c r="A12" s="393">
        <v>1</v>
      </c>
      <c r="B12" s="111"/>
      <c r="C12" s="390"/>
      <c r="D12" s="390"/>
      <c r="E12" s="533"/>
      <c r="F12" s="534"/>
      <c r="G12" s="534"/>
      <c r="H12" s="534"/>
      <c r="I12" s="534"/>
      <c r="J12" s="534"/>
      <c r="K12" s="533"/>
      <c r="L12" s="534"/>
      <c r="M12" s="534"/>
      <c r="N12" s="534"/>
      <c r="O12" s="534"/>
      <c r="P12" s="535"/>
      <c r="Q12" s="533"/>
      <c r="R12" s="534"/>
      <c r="S12" s="534"/>
      <c r="T12" s="534"/>
      <c r="U12" s="534"/>
      <c r="V12" s="535"/>
      <c r="W12" s="76"/>
      <c r="X12" s="76"/>
      <c r="Y12" s="85"/>
      <c r="Z12" s="85"/>
      <c r="AA12" s="79"/>
      <c r="AB12" s="30"/>
      <c r="AC12" s="16"/>
      <c r="AD12" s="14"/>
    </row>
    <row r="13" spans="1:30" ht="12.75">
      <c r="A13" s="393">
        <v>2</v>
      </c>
      <c r="B13" s="111"/>
      <c r="C13" s="390"/>
      <c r="D13" s="390"/>
      <c r="E13" s="533"/>
      <c r="F13" s="534"/>
      <c r="G13" s="534"/>
      <c r="H13" s="534"/>
      <c r="I13" s="534"/>
      <c r="J13" s="534"/>
      <c r="K13" s="533"/>
      <c r="L13" s="534"/>
      <c r="M13" s="534"/>
      <c r="N13" s="534"/>
      <c r="O13" s="534"/>
      <c r="P13" s="535"/>
      <c r="Q13" s="533"/>
      <c r="R13" s="534"/>
      <c r="S13" s="534"/>
      <c r="T13" s="534"/>
      <c r="U13" s="534"/>
      <c r="V13" s="535"/>
      <c r="W13" s="76"/>
      <c r="X13" s="76"/>
      <c r="Y13" s="85"/>
      <c r="Z13" s="85"/>
      <c r="AA13" s="79"/>
      <c r="AB13" s="30"/>
      <c r="AC13" s="16"/>
      <c r="AD13" s="14"/>
    </row>
    <row r="14" spans="1:30" ht="12.75">
      <c r="A14" s="393">
        <v>3</v>
      </c>
      <c r="B14" s="111"/>
      <c r="C14" s="390"/>
      <c r="D14" s="390"/>
      <c r="E14" s="533"/>
      <c r="F14" s="534"/>
      <c r="G14" s="534"/>
      <c r="H14" s="534"/>
      <c r="I14" s="534"/>
      <c r="J14" s="534"/>
      <c r="K14" s="533"/>
      <c r="L14" s="534"/>
      <c r="M14" s="534"/>
      <c r="N14" s="534"/>
      <c r="O14" s="534"/>
      <c r="P14" s="535"/>
      <c r="Q14" s="533"/>
      <c r="R14" s="534"/>
      <c r="S14" s="534"/>
      <c r="T14" s="534"/>
      <c r="U14" s="534"/>
      <c r="V14" s="535"/>
      <c r="W14" s="76"/>
      <c r="X14" s="76"/>
      <c r="Y14" s="85"/>
      <c r="Z14" s="85"/>
      <c r="AA14" s="79"/>
      <c r="AB14" s="30"/>
      <c r="AC14" s="16"/>
      <c r="AD14" s="14"/>
    </row>
    <row r="15" spans="1:30" ht="12.75">
      <c r="A15" s="393">
        <v>4</v>
      </c>
      <c r="B15" s="111"/>
      <c r="C15" s="390"/>
      <c r="D15" s="390"/>
      <c r="E15" s="533"/>
      <c r="F15" s="534"/>
      <c r="G15" s="534"/>
      <c r="H15" s="534"/>
      <c r="I15" s="534"/>
      <c r="J15" s="534"/>
      <c r="K15" s="533"/>
      <c r="L15" s="534"/>
      <c r="M15" s="534"/>
      <c r="N15" s="534"/>
      <c r="O15" s="534"/>
      <c r="P15" s="535"/>
      <c r="Q15" s="533"/>
      <c r="R15" s="534"/>
      <c r="S15" s="534"/>
      <c r="T15" s="534"/>
      <c r="U15" s="534"/>
      <c r="V15" s="535"/>
      <c r="W15" s="76"/>
      <c r="X15" s="76"/>
      <c r="Y15" s="77"/>
      <c r="Z15" s="77"/>
      <c r="AA15" s="79"/>
      <c r="AB15" s="30"/>
      <c r="AC15" s="16"/>
      <c r="AD15" s="14"/>
    </row>
    <row r="16" spans="1:30" ht="12.75">
      <c r="A16" s="393">
        <v>5</v>
      </c>
      <c r="B16" s="111"/>
      <c r="C16" s="390"/>
      <c r="D16" s="390"/>
      <c r="E16" s="533"/>
      <c r="F16" s="534"/>
      <c r="G16" s="534"/>
      <c r="H16" s="534"/>
      <c r="I16" s="534"/>
      <c r="J16" s="534"/>
      <c r="K16" s="533"/>
      <c r="L16" s="534"/>
      <c r="M16" s="534"/>
      <c r="N16" s="534"/>
      <c r="O16" s="534"/>
      <c r="P16" s="535"/>
      <c r="Q16" s="533"/>
      <c r="R16" s="534"/>
      <c r="S16" s="534"/>
      <c r="T16" s="534"/>
      <c r="U16" s="534"/>
      <c r="V16" s="535"/>
      <c r="W16" s="76"/>
      <c r="X16" s="76"/>
      <c r="Y16" s="77"/>
      <c r="Z16" s="77"/>
      <c r="AA16" s="77"/>
      <c r="AB16" s="16"/>
      <c r="AC16" s="16"/>
      <c r="AD16" s="14"/>
    </row>
    <row r="17" spans="1:30" ht="12.75">
      <c r="A17" s="393">
        <v>6</v>
      </c>
      <c r="B17" s="111"/>
      <c r="C17" s="390"/>
      <c r="D17" s="390"/>
      <c r="E17" s="533"/>
      <c r="F17" s="534"/>
      <c r="G17" s="534"/>
      <c r="H17" s="534"/>
      <c r="I17" s="534"/>
      <c r="J17" s="534"/>
      <c r="K17" s="533"/>
      <c r="L17" s="534"/>
      <c r="M17" s="534"/>
      <c r="N17" s="534"/>
      <c r="O17" s="534"/>
      <c r="P17" s="535"/>
      <c r="Q17" s="533"/>
      <c r="R17" s="534"/>
      <c r="S17" s="534"/>
      <c r="T17" s="534"/>
      <c r="U17" s="534"/>
      <c r="V17" s="535"/>
      <c r="W17" s="76"/>
      <c r="X17" s="76"/>
      <c r="Y17" s="77"/>
      <c r="Z17" s="77"/>
      <c r="AA17" s="77"/>
      <c r="AB17" s="16"/>
      <c r="AC17" s="16"/>
      <c r="AD17" s="14"/>
    </row>
    <row r="18" spans="1:30" ht="13.5" thickBot="1">
      <c r="A18" s="394"/>
      <c r="B18" s="111"/>
      <c r="C18" s="390"/>
      <c r="D18" s="390"/>
      <c r="E18" s="536"/>
      <c r="F18" s="537"/>
      <c r="G18" s="537"/>
      <c r="H18" s="537"/>
      <c r="I18" s="537"/>
      <c r="J18" s="537"/>
      <c r="K18" s="536"/>
      <c r="L18" s="537"/>
      <c r="M18" s="537"/>
      <c r="N18" s="537"/>
      <c r="O18" s="537"/>
      <c r="P18" s="538"/>
      <c r="Q18" s="536"/>
      <c r="R18" s="537"/>
      <c r="S18" s="537"/>
      <c r="T18" s="537"/>
      <c r="U18" s="537"/>
      <c r="V18" s="538"/>
      <c r="W18" s="76"/>
      <c r="X18" s="76"/>
      <c r="Y18" s="77"/>
      <c r="Z18" s="77"/>
      <c r="AA18" s="77"/>
      <c r="AB18" s="16"/>
      <c r="AC18" s="16"/>
      <c r="AD18" s="14"/>
    </row>
    <row r="19" spans="1:30" ht="13.5" thickBot="1">
      <c r="A19" s="389"/>
      <c r="B19" s="388" t="s">
        <v>1</v>
      </c>
      <c r="C19" s="398"/>
      <c r="D19" s="398"/>
      <c r="E19" s="381">
        <f aca="true" t="shared" si="1" ref="E19:V19">E6+E7+E8+E9+E10+E11</f>
        <v>0</v>
      </c>
      <c r="F19" s="381">
        <f t="shared" si="1"/>
        <v>0</v>
      </c>
      <c r="G19" s="381">
        <f t="shared" si="1"/>
        <v>0</v>
      </c>
      <c r="H19" s="381">
        <f t="shared" si="1"/>
        <v>0</v>
      </c>
      <c r="I19" s="381">
        <f t="shared" si="1"/>
        <v>0</v>
      </c>
      <c r="J19" s="381">
        <f t="shared" si="1"/>
        <v>0</v>
      </c>
      <c r="K19" s="381">
        <f t="shared" si="1"/>
        <v>0</v>
      </c>
      <c r="L19" s="381">
        <f t="shared" si="1"/>
        <v>0</v>
      </c>
      <c r="M19" s="381">
        <f t="shared" si="1"/>
        <v>0</v>
      </c>
      <c r="N19" s="381">
        <f t="shared" si="1"/>
        <v>0</v>
      </c>
      <c r="O19" s="381">
        <f t="shared" si="1"/>
        <v>0</v>
      </c>
      <c r="P19" s="381">
        <f t="shared" si="1"/>
        <v>0</v>
      </c>
      <c r="Q19" s="381">
        <f t="shared" si="1"/>
        <v>0</v>
      </c>
      <c r="R19" s="381">
        <f t="shared" si="1"/>
        <v>0</v>
      </c>
      <c r="S19" s="547">
        <f t="shared" si="1"/>
        <v>0</v>
      </c>
      <c r="T19" s="547">
        <f t="shared" si="1"/>
        <v>0</v>
      </c>
      <c r="U19" s="547">
        <f t="shared" si="1"/>
        <v>0</v>
      </c>
      <c r="V19" s="547">
        <f t="shared" si="1"/>
        <v>0</v>
      </c>
      <c r="W19" s="76"/>
      <c r="X19" s="76"/>
      <c r="Y19" s="77"/>
      <c r="Z19" s="77"/>
      <c r="AA19" s="77"/>
      <c r="AB19" s="16"/>
      <c r="AC19" s="16"/>
      <c r="AD19" s="14"/>
    </row>
    <row r="20" spans="1:30" ht="13.5" thickBot="1">
      <c r="A20" s="389"/>
      <c r="B20" s="388" t="s">
        <v>116</v>
      </c>
      <c r="C20" s="398"/>
      <c r="D20" s="398"/>
      <c r="E20" s="420">
        <f>E19*4.17</f>
        <v>0</v>
      </c>
      <c r="F20" s="420">
        <f>F19*3.33</f>
        <v>0</v>
      </c>
      <c r="G20" s="420">
        <f>G19*2.5</f>
        <v>0</v>
      </c>
      <c r="H20" s="420">
        <f>H19*1.67</f>
        <v>0</v>
      </c>
      <c r="I20" s="420">
        <f>I19*0.83</f>
        <v>0</v>
      </c>
      <c r="J20" s="420">
        <f>J19*0</f>
        <v>0</v>
      </c>
      <c r="K20" s="420">
        <f>K19*4.58</f>
        <v>0</v>
      </c>
      <c r="L20" s="420">
        <f>L19*4.17</f>
        <v>0</v>
      </c>
      <c r="M20" s="420">
        <f>M19*3.75</f>
        <v>0</v>
      </c>
      <c r="N20" s="420">
        <f>N19*3.33</f>
        <v>0</v>
      </c>
      <c r="O20" s="420">
        <f>O19*2.92</f>
        <v>0</v>
      </c>
      <c r="P20" s="420">
        <f>P19*2.5</f>
        <v>0</v>
      </c>
      <c r="Q20" s="420">
        <f>Q19*4.86</f>
        <v>0</v>
      </c>
      <c r="R20" s="420">
        <f>R19*4.44</f>
        <v>0</v>
      </c>
      <c r="S20" s="420">
        <f>S19*3.75</f>
        <v>0</v>
      </c>
      <c r="T20" s="420">
        <f>T19*2.78</f>
        <v>0</v>
      </c>
      <c r="U20" s="420">
        <f>U19*1.53</f>
        <v>0</v>
      </c>
      <c r="V20" s="427">
        <f>V19*0</f>
        <v>0</v>
      </c>
      <c r="W20" s="76"/>
      <c r="X20" s="76"/>
      <c r="Y20" s="77"/>
      <c r="Z20" s="77"/>
      <c r="AA20" s="77"/>
      <c r="AB20" s="16"/>
      <c r="AC20" s="16"/>
      <c r="AD20" s="14"/>
    </row>
    <row r="21" spans="1:30" ht="12.75" customHeight="1">
      <c r="A21" s="711" t="s">
        <v>43</v>
      </c>
      <c r="B21" s="712"/>
      <c r="C21" s="712"/>
      <c r="D21" s="713"/>
      <c r="E21" s="693" t="e">
        <f>SUM(E20:V20)/(SUM(E19:V19))</f>
        <v>#DIV/0!</v>
      </c>
      <c r="F21" s="763"/>
      <c r="G21" s="763"/>
      <c r="H21" s="763"/>
      <c r="I21" s="763"/>
      <c r="J21" s="763"/>
      <c r="K21" s="763"/>
      <c r="L21" s="763"/>
      <c r="M21" s="763"/>
      <c r="N21" s="763"/>
      <c r="O21" s="763"/>
      <c r="P21" s="763"/>
      <c r="Q21" s="763"/>
      <c r="R21" s="763"/>
      <c r="S21" s="763"/>
      <c r="T21" s="763"/>
      <c r="U21" s="763"/>
      <c r="V21" s="764"/>
      <c r="W21" s="76"/>
      <c r="X21" s="76"/>
      <c r="Y21" s="77"/>
      <c r="Z21" s="77"/>
      <c r="AA21" s="77"/>
      <c r="AB21" s="16"/>
      <c r="AC21" s="16"/>
      <c r="AD21" s="14"/>
    </row>
    <row r="22" spans="1:30" ht="13.5" customHeight="1" thickBot="1">
      <c r="A22" s="690"/>
      <c r="B22" s="691"/>
      <c r="C22" s="691"/>
      <c r="D22" s="692"/>
      <c r="E22" s="765"/>
      <c r="F22" s="766"/>
      <c r="G22" s="766"/>
      <c r="H22" s="766"/>
      <c r="I22" s="766"/>
      <c r="J22" s="766"/>
      <c r="K22" s="766"/>
      <c r="L22" s="766"/>
      <c r="M22" s="766"/>
      <c r="N22" s="766"/>
      <c r="O22" s="766"/>
      <c r="P22" s="766"/>
      <c r="Q22" s="766"/>
      <c r="R22" s="766"/>
      <c r="S22" s="766"/>
      <c r="T22" s="766"/>
      <c r="U22" s="766"/>
      <c r="V22" s="767"/>
      <c r="W22" s="76"/>
      <c r="X22" s="76"/>
      <c r="Y22" s="77"/>
      <c r="Z22" s="77"/>
      <c r="AA22" s="77"/>
      <c r="AB22" s="16"/>
      <c r="AC22" s="16"/>
      <c r="AD22" s="14"/>
    </row>
    <row r="23" spans="23:30" ht="12.75">
      <c r="W23" s="82"/>
      <c r="X23" s="77"/>
      <c r="Y23" s="77"/>
      <c r="Z23" s="83"/>
      <c r="AA23" s="77"/>
      <c r="AB23" s="16"/>
      <c r="AC23" s="75"/>
      <c r="AD23" s="14"/>
    </row>
    <row r="24" spans="23:30" ht="18.75">
      <c r="W24" s="85"/>
      <c r="X24" s="86"/>
      <c r="Y24" s="86"/>
      <c r="Z24" s="85"/>
      <c r="AA24" s="86"/>
      <c r="AB24" s="15"/>
      <c r="AC24" s="16"/>
      <c r="AD24" s="14"/>
    </row>
    <row r="25" spans="23:30" ht="12.75">
      <c r="W25" s="85"/>
      <c r="X25" s="79"/>
      <c r="Y25" s="79"/>
      <c r="Z25" s="85"/>
      <c r="AA25" s="79"/>
      <c r="AB25" s="30"/>
      <c r="AC25" s="16"/>
      <c r="AD25" s="14"/>
    </row>
    <row r="26" spans="23:30" ht="12.75">
      <c r="W26" s="85"/>
      <c r="X26" s="79"/>
      <c r="Y26" s="79"/>
      <c r="Z26" s="85"/>
      <c r="AA26" s="79"/>
      <c r="AB26" s="30"/>
      <c r="AC26" s="16"/>
      <c r="AD26" s="14"/>
    </row>
    <row r="27" spans="23:30" ht="12.75">
      <c r="W27" s="85"/>
      <c r="X27" s="79"/>
      <c r="Y27" s="79"/>
      <c r="Z27" s="85"/>
      <c r="AA27" s="79"/>
      <c r="AB27" s="30"/>
      <c r="AC27" s="16"/>
      <c r="AD27" s="14"/>
    </row>
    <row r="28" spans="23:30" ht="12.75">
      <c r="W28" s="85"/>
      <c r="X28" s="79"/>
      <c r="Y28" s="79"/>
      <c r="Z28" s="85"/>
      <c r="AA28" s="79"/>
      <c r="AB28" s="30"/>
      <c r="AC28" s="16"/>
      <c r="AD28" s="14"/>
    </row>
    <row r="29" spans="23:30" ht="12.75">
      <c r="W29" s="85"/>
      <c r="X29" s="79"/>
      <c r="Y29" s="79"/>
      <c r="Z29" s="85"/>
      <c r="AA29" s="79"/>
      <c r="AB29" s="30"/>
      <c r="AC29" s="16"/>
      <c r="AD29" s="14"/>
    </row>
    <row r="30" spans="23:30" ht="12.75">
      <c r="W30" s="85"/>
      <c r="X30" s="79"/>
      <c r="Y30" s="79"/>
      <c r="Z30" s="85"/>
      <c r="AA30" s="79"/>
      <c r="AB30" s="30"/>
      <c r="AC30" s="16"/>
      <c r="AD30" s="14"/>
    </row>
    <row r="31" spans="23:30" ht="12.75">
      <c r="W31" s="77"/>
      <c r="X31" s="79"/>
      <c r="Y31" s="79"/>
      <c r="Z31" s="77"/>
      <c r="AA31" s="79"/>
      <c r="AB31" s="30"/>
      <c r="AC31" s="17"/>
      <c r="AD31" s="14"/>
    </row>
    <row r="32" spans="23:30" ht="12.75">
      <c r="W32" s="77"/>
      <c r="X32" s="77"/>
      <c r="Y32" s="76"/>
      <c r="Z32" s="76"/>
      <c r="AA32" s="76"/>
      <c r="AB32" s="14"/>
      <c r="AC32" s="14"/>
      <c r="AD32" s="14"/>
    </row>
    <row r="33" spans="23:27" ht="12.75">
      <c r="W33" s="77"/>
      <c r="X33" s="77"/>
      <c r="Y33" s="76"/>
      <c r="Z33" s="76"/>
      <c r="AA33" s="76"/>
    </row>
    <row r="34" spans="23:27" ht="12.75">
      <c r="W34" s="77"/>
      <c r="X34" s="77"/>
      <c r="Y34" s="76"/>
      <c r="Z34" s="76"/>
      <c r="AA34" s="76"/>
    </row>
    <row r="35" spans="23:27" ht="12.75">
      <c r="W35" s="76"/>
      <c r="X35" s="76"/>
      <c r="Y35" s="76"/>
      <c r="Z35" s="76"/>
      <c r="AA35" s="76"/>
    </row>
    <row r="36" spans="23:27" ht="12.75">
      <c r="W36" s="76"/>
      <c r="X36" s="76"/>
      <c r="Y36" s="76"/>
      <c r="Z36" s="76"/>
      <c r="AA36" s="76"/>
    </row>
    <row r="37" spans="23:27" ht="12.75">
      <c r="W37" s="76"/>
      <c r="X37" s="76"/>
      <c r="Y37" s="76"/>
      <c r="Z37" s="76"/>
      <c r="AA37" s="76"/>
    </row>
    <row r="38" spans="23:27" ht="12.75">
      <c r="W38" s="76"/>
      <c r="X38" s="76"/>
      <c r="Y38" s="76"/>
      <c r="Z38" s="76"/>
      <c r="AA38" s="76"/>
    </row>
    <row r="39" spans="23:27" ht="12.75">
      <c r="W39" s="76"/>
      <c r="X39" s="76"/>
      <c r="Y39" s="76"/>
      <c r="Z39" s="76"/>
      <c r="AA39" s="76"/>
    </row>
    <row r="40" spans="23:27" ht="12.75">
      <c r="W40" s="76"/>
      <c r="X40" s="76"/>
      <c r="Y40" s="76"/>
      <c r="Z40" s="76"/>
      <c r="AA40" s="76"/>
    </row>
    <row r="41" spans="23:27" ht="12.75">
      <c r="W41" s="76"/>
      <c r="X41" s="76"/>
      <c r="Y41" s="76"/>
      <c r="Z41" s="76"/>
      <c r="AA41" s="76"/>
    </row>
    <row r="42" spans="23:27" ht="12.75">
      <c r="W42" s="76"/>
      <c r="X42" s="76"/>
      <c r="Y42" s="76"/>
      <c r="Z42" s="76"/>
      <c r="AA42" s="76"/>
    </row>
    <row r="43" spans="23:27" ht="12.75">
      <c r="W43" s="76"/>
      <c r="X43" s="76"/>
      <c r="Y43" s="76"/>
      <c r="Z43" s="76"/>
      <c r="AA43" s="76"/>
    </row>
    <row r="44" spans="23:27" ht="12.75">
      <c r="W44" s="76"/>
      <c r="X44" s="76"/>
      <c r="Y44" s="76"/>
      <c r="Z44" s="76"/>
      <c r="AA44" s="76"/>
    </row>
    <row r="45" spans="23:27" ht="12.75">
      <c r="W45" s="76"/>
      <c r="X45" s="76"/>
      <c r="Y45" s="76"/>
      <c r="Z45" s="76"/>
      <c r="AA45" s="76"/>
    </row>
    <row r="46" spans="23:27" ht="12.75">
      <c r="W46" s="76"/>
      <c r="X46" s="76"/>
      <c r="Y46" s="76"/>
      <c r="Z46" s="76"/>
      <c r="AA46" s="76"/>
    </row>
    <row r="47" spans="23:27" ht="12.75">
      <c r="W47" s="76"/>
      <c r="X47" s="76"/>
      <c r="Y47" s="76"/>
      <c r="Z47" s="76"/>
      <c r="AA47" s="76"/>
    </row>
  </sheetData>
  <mergeCells count="6">
    <mergeCell ref="A21:D22"/>
    <mergeCell ref="E21:V22"/>
    <mergeCell ref="Q4:V4"/>
    <mergeCell ref="E3:V3"/>
    <mergeCell ref="E4:J4"/>
    <mergeCell ref="K4:P4"/>
  </mergeCells>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AG107"/>
  <sheetViews>
    <sheetView workbookViewId="0" topLeftCell="A1">
      <selection activeCell="D24" sqref="D24"/>
    </sheetView>
  </sheetViews>
  <sheetFormatPr defaultColWidth="11.421875" defaultRowHeight="12.75"/>
  <cols>
    <col min="1" max="1" width="4.140625" style="368" customWidth="1"/>
    <col min="2" max="3" width="11.421875" style="368" customWidth="1"/>
    <col min="4" max="4" width="45.7109375" style="368" customWidth="1"/>
    <col min="5" max="22" width="4.7109375" style="368" customWidth="1"/>
    <col min="23" max="23" width="11.421875" style="368" customWidth="1"/>
  </cols>
  <sheetData>
    <row r="1" spans="1:23" s="13" customFormat="1" ht="18.75" thickBot="1">
      <c r="A1" s="398"/>
      <c r="B1" s="397" t="s">
        <v>22</v>
      </c>
      <c r="C1" s="398"/>
      <c r="D1" s="398"/>
      <c r="E1" s="398"/>
      <c r="F1" s="398"/>
      <c r="G1" s="398"/>
      <c r="H1" s="398"/>
      <c r="I1" s="398"/>
      <c r="J1" s="398"/>
      <c r="K1" s="398"/>
      <c r="L1" s="398"/>
      <c r="M1" s="398"/>
      <c r="N1" s="398"/>
      <c r="O1" s="398"/>
      <c r="P1" s="398"/>
      <c r="Q1" s="398"/>
      <c r="R1" s="398"/>
      <c r="S1" s="398"/>
      <c r="T1" s="398"/>
      <c r="U1" s="398"/>
      <c r="V1" s="398"/>
      <c r="W1" s="398"/>
    </row>
    <row r="2" spans="24:29" ht="13.5" thickBot="1">
      <c r="X2" s="76"/>
      <c r="Y2" s="76"/>
      <c r="Z2" s="76"/>
      <c r="AA2" s="76"/>
      <c r="AB2" s="76"/>
      <c r="AC2" s="76"/>
    </row>
    <row r="3" spans="5:29" ht="16.5" thickBot="1">
      <c r="E3" s="768" t="s">
        <v>233</v>
      </c>
      <c r="F3" s="769"/>
      <c r="G3" s="769"/>
      <c r="H3" s="769"/>
      <c r="I3" s="769"/>
      <c r="J3" s="769"/>
      <c r="K3" s="769"/>
      <c r="L3" s="769"/>
      <c r="M3" s="769"/>
      <c r="N3" s="769"/>
      <c r="O3" s="769"/>
      <c r="P3" s="769"/>
      <c r="Q3" s="769"/>
      <c r="R3" s="769"/>
      <c r="S3" s="769"/>
      <c r="T3" s="769"/>
      <c r="U3" s="769"/>
      <c r="V3" s="770"/>
      <c r="X3" s="76"/>
      <c r="Y3" s="76"/>
      <c r="Z3" s="76"/>
      <c r="AA3" s="76"/>
      <c r="AB3" s="76"/>
      <c r="AC3" s="76"/>
    </row>
    <row r="4" spans="1:29" ht="16.5" thickBot="1">
      <c r="A4" s="391"/>
      <c r="B4" s="416" t="s">
        <v>11</v>
      </c>
      <c r="C4" s="417" t="s">
        <v>17</v>
      </c>
      <c r="D4" s="418"/>
      <c r="E4" s="720" t="s">
        <v>179</v>
      </c>
      <c r="F4" s="761"/>
      <c r="G4" s="761"/>
      <c r="H4" s="761"/>
      <c r="I4" s="761"/>
      <c r="J4" s="761"/>
      <c r="K4" s="720" t="s">
        <v>231</v>
      </c>
      <c r="L4" s="721"/>
      <c r="M4" s="721"/>
      <c r="N4" s="721"/>
      <c r="O4" s="721"/>
      <c r="P4" s="762"/>
      <c r="Q4" s="720" t="s">
        <v>232</v>
      </c>
      <c r="R4" s="695"/>
      <c r="S4" s="695"/>
      <c r="T4" s="695"/>
      <c r="U4" s="695"/>
      <c r="V4" s="694"/>
      <c r="X4" s="76"/>
      <c r="Y4" s="76"/>
      <c r="Z4" s="76"/>
      <c r="AA4" s="76"/>
      <c r="AB4" s="76"/>
      <c r="AC4" s="76"/>
    </row>
    <row r="5" spans="1:29" ht="13.5" thickBot="1">
      <c r="A5" s="389"/>
      <c r="B5" s="398"/>
      <c r="C5" s="398"/>
      <c r="D5" s="398"/>
      <c r="E5" s="352" t="s">
        <v>23</v>
      </c>
      <c r="F5" s="384" t="s">
        <v>24</v>
      </c>
      <c r="G5" s="411" t="s">
        <v>25</v>
      </c>
      <c r="H5" s="440" t="s">
        <v>26</v>
      </c>
      <c r="I5" s="525" t="s">
        <v>27</v>
      </c>
      <c r="J5" s="440" t="s">
        <v>28</v>
      </c>
      <c r="K5" s="411" t="s">
        <v>23</v>
      </c>
      <c r="L5" s="440" t="s">
        <v>24</v>
      </c>
      <c r="M5" s="411" t="s">
        <v>25</v>
      </c>
      <c r="N5" s="440" t="s">
        <v>26</v>
      </c>
      <c r="O5" s="525" t="s">
        <v>27</v>
      </c>
      <c r="P5" s="440" t="s">
        <v>28</v>
      </c>
      <c r="Q5" s="411" t="s">
        <v>23</v>
      </c>
      <c r="R5" s="440" t="s">
        <v>24</v>
      </c>
      <c r="S5" s="411" t="s">
        <v>25</v>
      </c>
      <c r="T5" s="440" t="s">
        <v>26</v>
      </c>
      <c r="U5" s="525" t="s">
        <v>27</v>
      </c>
      <c r="V5" s="440" t="s">
        <v>28</v>
      </c>
      <c r="X5" s="76"/>
      <c r="Y5" s="76"/>
      <c r="Z5" s="76"/>
      <c r="AA5" s="76"/>
      <c r="AB5" s="76"/>
      <c r="AC5" s="76"/>
    </row>
    <row r="6" spans="1:29" ht="13.5" thickBot="1">
      <c r="A6" s="392"/>
      <c r="B6" s="421" t="s">
        <v>12</v>
      </c>
      <c r="C6" s="422"/>
      <c r="D6" s="422"/>
      <c r="E6" s="526">
        <f>(('CUARTEL GENERAL'!E5+'CUARTEL GENERAL'!E6)*2.5)+(('CUARTEL GENERAL'!E22+'CUARTEL GENERAL'!E23)*2)</f>
        <v>0</v>
      </c>
      <c r="F6" s="527">
        <f>'CUARTEL GENERAL'!H110+'CUARTEL GENERAL'!H111-'II'!E6</f>
        <v>0</v>
      </c>
      <c r="G6" s="527"/>
      <c r="H6" s="527"/>
      <c r="I6" s="527"/>
      <c r="J6" s="527"/>
      <c r="K6" s="526"/>
      <c r="L6" s="527"/>
      <c r="M6" s="527"/>
      <c r="N6" s="527"/>
      <c r="O6" s="527"/>
      <c r="P6" s="528"/>
      <c r="Q6" s="526"/>
      <c r="R6" s="527"/>
      <c r="S6" s="527"/>
      <c r="T6" s="527"/>
      <c r="U6" s="527"/>
      <c r="V6" s="528"/>
      <c r="X6" s="76"/>
      <c r="Y6" s="76"/>
      <c r="Z6" s="76"/>
      <c r="AA6" s="76"/>
      <c r="AB6" s="76"/>
      <c r="AC6" s="76"/>
    </row>
    <row r="7" spans="1:29" ht="13.5" thickBot="1">
      <c r="A7" s="391"/>
      <c r="B7" s="529" t="s">
        <v>13</v>
      </c>
      <c r="C7" s="398"/>
      <c r="D7" s="398"/>
      <c r="E7" s="530"/>
      <c r="F7" s="531">
        <f>LINEA!H36</f>
        <v>0</v>
      </c>
      <c r="G7" s="531"/>
      <c r="H7" s="531"/>
      <c r="I7" s="531"/>
      <c r="J7" s="531"/>
      <c r="K7" s="530"/>
      <c r="L7" s="531"/>
      <c r="M7" s="531"/>
      <c r="N7" s="531"/>
      <c r="O7" s="531"/>
      <c r="P7" s="532"/>
      <c r="Q7" s="530"/>
      <c r="R7" s="531"/>
      <c r="S7" s="531"/>
      <c r="T7" s="531"/>
      <c r="U7" s="531"/>
      <c r="V7" s="532"/>
      <c r="X7" s="76"/>
      <c r="Y7" s="76"/>
      <c r="Z7" s="76"/>
      <c r="AA7" s="76"/>
      <c r="AB7" s="76"/>
      <c r="AC7" s="76"/>
    </row>
    <row r="8" spans="1:29" ht="13.5" thickBot="1">
      <c r="A8" s="389"/>
      <c r="B8" s="388" t="s">
        <v>14</v>
      </c>
      <c r="C8" s="398"/>
      <c r="D8" s="398"/>
      <c r="E8" s="530">
        <f>ELITE!H102</f>
        <v>0</v>
      </c>
      <c r="F8" s="531">
        <f>ELITE!H100</f>
        <v>0</v>
      </c>
      <c r="G8" s="531">
        <f>ELITE!H101</f>
        <v>0</v>
      </c>
      <c r="H8" s="531"/>
      <c r="I8" s="531"/>
      <c r="J8" s="531"/>
      <c r="K8" s="530"/>
      <c r="L8" s="531"/>
      <c r="M8" s="531"/>
      <c r="N8" s="531"/>
      <c r="O8" s="531"/>
      <c r="P8" s="532"/>
      <c r="Q8" s="530"/>
      <c r="R8" s="531"/>
      <c r="S8" s="531"/>
      <c r="T8" s="531"/>
      <c r="U8" s="531"/>
      <c r="V8" s="532"/>
      <c r="X8" s="76"/>
      <c r="Y8" s="76"/>
      <c r="Z8" s="76"/>
      <c r="AA8" s="76"/>
      <c r="AB8" s="76"/>
      <c r="AC8" s="76"/>
    </row>
    <row r="9" spans="1:29" ht="13.5" thickBot="1">
      <c r="A9" s="395"/>
      <c r="B9" s="388" t="s">
        <v>15</v>
      </c>
      <c r="C9" s="388"/>
      <c r="D9" s="398"/>
      <c r="E9" s="530"/>
      <c r="F9" s="531">
        <f>'A.RAPIDO'!H45</f>
        <v>0</v>
      </c>
      <c r="G9" s="531"/>
      <c r="H9" s="531"/>
      <c r="I9" s="531"/>
      <c r="J9" s="531"/>
      <c r="K9" s="530"/>
      <c r="L9" s="531"/>
      <c r="M9" s="531"/>
      <c r="N9" s="531"/>
      <c r="O9" s="531"/>
      <c r="P9" s="532"/>
      <c r="Q9" s="530"/>
      <c r="R9" s="531"/>
      <c r="S9" s="531"/>
      <c r="T9" s="531"/>
      <c r="U9" s="531"/>
      <c r="V9" s="532"/>
      <c r="X9" s="76"/>
      <c r="Y9" s="76"/>
      <c r="Z9" s="76"/>
      <c r="AA9" s="76"/>
      <c r="AB9" s="76"/>
      <c r="AC9" s="76"/>
    </row>
    <row r="10" spans="1:30" ht="13.5" thickBot="1">
      <c r="A10" s="389"/>
      <c r="B10" s="388" t="s">
        <v>16</v>
      </c>
      <c r="C10" s="398"/>
      <c r="D10" s="398"/>
      <c r="E10" s="530"/>
      <c r="F10" s="531">
        <f>'A.PESADO'!H51</f>
        <v>0</v>
      </c>
      <c r="G10" s="531"/>
      <c r="H10" s="531"/>
      <c r="I10" s="531"/>
      <c r="J10" s="531"/>
      <c r="K10" s="530"/>
      <c r="L10" s="531"/>
      <c r="M10" s="531"/>
      <c r="N10" s="531"/>
      <c r="O10" s="531"/>
      <c r="P10" s="532"/>
      <c r="Q10" s="530"/>
      <c r="R10" s="531"/>
      <c r="S10" s="531"/>
      <c r="T10" s="531"/>
      <c r="U10" s="531"/>
      <c r="V10" s="532"/>
      <c r="X10" s="76"/>
      <c r="Y10" s="87"/>
      <c r="Z10" s="83"/>
      <c r="AA10" s="77"/>
      <c r="AB10" s="77"/>
      <c r="AC10" s="77"/>
      <c r="AD10" s="14"/>
    </row>
    <row r="11" spans="1:30" ht="13.5" thickBot="1">
      <c r="A11" s="389"/>
      <c r="B11" s="388" t="s">
        <v>18</v>
      </c>
      <c r="C11" s="398"/>
      <c r="D11" s="398"/>
      <c r="E11" s="530"/>
      <c r="F11" s="531"/>
      <c r="G11" s="531"/>
      <c r="H11" s="531"/>
      <c r="I11" s="531"/>
      <c r="J11" s="531"/>
      <c r="K11" s="530"/>
      <c r="L11" s="531"/>
      <c r="M11" s="531"/>
      <c r="N11" s="531"/>
      <c r="O11" s="531"/>
      <c r="P11" s="532"/>
      <c r="Q11" s="530"/>
      <c r="R11" s="531"/>
      <c r="S11" s="531"/>
      <c r="T11" s="531"/>
      <c r="U11" s="531"/>
      <c r="V11" s="532"/>
      <c r="X11" s="76"/>
      <c r="Y11" s="85"/>
      <c r="Z11" s="85"/>
      <c r="AA11" s="79"/>
      <c r="AB11" s="79"/>
      <c r="AC11" s="77"/>
      <c r="AD11" s="14"/>
    </row>
    <row r="12" spans="1:30" ht="12.75">
      <c r="A12" s="393">
        <v>1</v>
      </c>
      <c r="B12" s="111"/>
      <c r="C12" s="390"/>
      <c r="D12" s="390"/>
      <c r="E12" s="533"/>
      <c r="F12" s="534"/>
      <c r="G12" s="534"/>
      <c r="H12" s="534"/>
      <c r="I12" s="534"/>
      <c r="J12" s="534"/>
      <c r="K12" s="533"/>
      <c r="L12" s="534"/>
      <c r="M12" s="534"/>
      <c r="N12" s="534"/>
      <c r="O12" s="534"/>
      <c r="P12" s="535"/>
      <c r="Q12" s="533"/>
      <c r="R12" s="534"/>
      <c r="S12" s="534"/>
      <c r="T12" s="534"/>
      <c r="U12" s="534"/>
      <c r="V12" s="535"/>
      <c r="X12" s="76"/>
      <c r="Y12" s="85"/>
      <c r="Z12" s="85"/>
      <c r="AA12" s="79"/>
      <c r="AB12" s="79"/>
      <c r="AC12" s="77"/>
      <c r="AD12" s="14"/>
    </row>
    <row r="13" spans="1:30" ht="12.75">
      <c r="A13" s="393">
        <v>2</v>
      </c>
      <c r="B13" s="111"/>
      <c r="C13" s="390"/>
      <c r="D13" s="390"/>
      <c r="E13" s="533"/>
      <c r="F13" s="534"/>
      <c r="G13" s="534"/>
      <c r="H13" s="534"/>
      <c r="I13" s="534"/>
      <c r="J13" s="534"/>
      <c r="K13" s="533"/>
      <c r="L13" s="534"/>
      <c r="M13" s="534"/>
      <c r="N13" s="534"/>
      <c r="O13" s="534"/>
      <c r="P13" s="535"/>
      <c r="Q13" s="533"/>
      <c r="R13" s="534"/>
      <c r="S13" s="534"/>
      <c r="T13" s="534"/>
      <c r="U13" s="534"/>
      <c r="V13" s="535"/>
      <c r="X13" s="76"/>
      <c r="Y13" s="85"/>
      <c r="Z13" s="85"/>
      <c r="AA13" s="79"/>
      <c r="AB13" s="79"/>
      <c r="AC13" s="77"/>
      <c r="AD13" s="14"/>
    </row>
    <row r="14" spans="1:30" ht="12.75">
      <c r="A14" s="393">
        <v>3</v>
      </c>
      <c r="B14" s="111"/>
      <c r="C14" s="390"/>
      <c r="D14" s="390"/>
      <c r="E14" s="533"/>
      <c r="F14" s="534"/>
      <c r="G14" s="534"/>
      <c r="H14" s="534"/>
      <c r="I14" s="534"/>
      <c r="J14" s="534"/>
      <c r="K14" s="533"/>
      <c r="L14" s="534"/>
      <c r="M14" s="534"/>
      <c r="N14" s="534"/>
      <c r="O14" s="534"/>
      <c r="P14" s="535"/>
      <c r="Q14" s="533"/>
      <c r="R14" s="534"/>
      <c r="S14" s="534"/>
      <c r="T14" s="534"/>
      <c r="U14" s="534"/>
      <c r="V14" s="535"/>
      <c r="X14" s="76"/>
      <c r="Y14" s="85"/>
      <c r="Z14" s="85"/>
      <c r="AA14" s="79"/>
      <c r="AB14" s="79"/>
      <c r="AC14" s="77"/>
      <c r="AD14" s="14"/>
    </row>
    <row r="15" spans="1:30" ht="12.75">
      <c r="A15" s="393">
        <v>4</v>
      </c>
      <c r="B15" s="111"/>
      <c r="C15" s="390"/>
      <c r="D15" s="390"/>
      <c r="E15" s="533"/>
      <c r="F15" s="534"/>
      <c r="G15" s="534"/>
      <c r="H15" s="534"/>
      <c r="I15" s="534"/>
      <c r="J15" s="534"/>
      <c r="K15" s="533"/>
      <c r="L15" s="534"/>
      <c r="M15" s="534"/>
      <c r="N15" s="534"/>
      <c r="O15" s="534"/>
      <c r="P15" s="535"/>
      <c r="Q15" s="533"/>
      <c r="R15" s="534"/>
      <c r="S15" s="534"/>
      <c r="T15" s="534"/>
      <c r="U15" s="534"/>
      <c r="V15" s="535"/>
      <c r="X15" s="76"/>
      <c r="Y15" s="77"/>
      <c r="Z15" s="77"/>
      <c r="AA15" s="79"/>
      <c r="AB15" s="79"/>
      <c r="AC15" s="77"/>
      <c r="AD15" s="14"/>
    </row>
    <row r="16" spans="1:30" ht="12.75">
      <c r="A16" s="393">
        <v>5</v>
      </c>
      <c r="B16" s="111"/>
      <c r="C16" s="390"/>
      <c r="D16" s="390"/>
      <c r="E16" s="533"/>
      <c r="F16" s="534"/>
      <c r="G16" s="534"/>
      <c r="H16" s="534"/>
      <c r="I16" s="534"/>
      <c r="J16" s="534"/>
      <c r="K16" s="533"/>
      <c r="L16" s="534"/>
      <c r="M16" s="534"/>
      <c r="N16" s="534"/>
      <c r="O16" s="534"/>
      <c r="P16" s="535"/>
      <c r="Q16" s="533"/>
      <c r="R16" s="534"/>
      <c r="S16" s="534"/>
      <c r="T16" s="534"/>
      <c r="U16" s="534"/>
      <c r="V16" s="535"/>
      <c r="X16" s="76"/>
      <c r="Y16" s="77"/>
      <c r="Z16" s="77"/>
      <c r="AA16" s="77"/>
      <c r="AB16" s="77"/>
      <c r="AC16" s="77"/>
      <c r="AD16" s="14"/>
    </row>
    <row r="17" spans="1:30" ht="12.75">
      <c r="A17" s="393">
        <v>6</v>
      </c>
      <c r="B17" s="111"/>
      <c r="C17" s="390"/>
      <c r="D17" s="390"/>
      <c r="E17" s="533"/>
      <c r="F17" s="534"/>
      <c r="G17" s="534"/>
      <c r="H17" s="534"/>
      <c r="I17" s="534"/>
      <c r="J17" s="534"/>
      <c r="K17" s="533"/>
      <c r="L17" s="534"/>
      <c r="M17" s="534"/>
      <c r="N17" s="534"/>
      <c r="O17" s="534"/>
      <c r="P17" s="535"/>
      <c r="Q17" s="533"/>
      <c r="R17" s="534"/>
      <c r="S17" s="534"/>
      <c r="T17" s="534"/>
      <c r="U17" s="534"/>
      <c r="V17" s="535"/>
      <c r="X17" s="76"/>
      <c r="Y17" s="77"/>
      <c r="Z17" s="77"/>
      <c r="AA17" s="77"/>
      <c r="AB17" s="77"/>
      <c r="AC17" s="77"/>
      <c r="AD17" s="14"/>
    </row>
    <row r="18" spans="1:30" ht="13.5" thickBot="1">
      <c r="A18" s="394"/>
      <c r="B18" s="111"/>
      <c r="C18" s="390"/>
      <c r="D18" s="390"/>
      <c r="E18" s="536"/>
      <c r="F18" s="537"/>
      <c r="G18" s="537"/>
      <c r="H18" s="537"/>
      <c r="I18" s="537"/>
      <c r="J18" s="537"/>
      <c r="K18" s="536"/>
      <c r="L18" s="537"/>
      <c r="M18" s="537"/>
      <c r="N18" s="537"/>
      <c r="O18" s="537"/>
      <c r="P18" s="538"/>
      <c r="Q18" s="536"/>
      <c r="R18" s="537"/>
      <c r="S18" s="537"/>
      <c r="T18" s="537"/>
      <c r="U18" s="537"/>
      <c r="V18" s="538"/>
      <c r="X18" s="76"/>
      <c r="Y18" s="77"/>
      <c r="Z18" s="77"/>
      <c r="AA18" s="77"/>
      <c r="AB18" s="77"/>
      <c r="AC18" s="77"/>
      <c r="AD18" s="14"/>
    </row>
    <row r="19" spans="1:30" ht="13.5" thickBot="1">
      <c r="A19" s="389"/>
      <c r="B19" s="388" t="s">
        <v>1</v>
      </c>
      <c r="C19" s="398"/>
      <c r="D19" s="398"/>
      <c r="E19" s="381">
        <f aca="true" t="shared" si="0" ref="E19:V19">E6+E7+E8+E9+E10+E11</f>
        <v>0</v>
      </c>
      <c r="F19" s="381">
        <f t="shared" si="0"/>
        <v>0</v>
      </c>
      <c r="G19" s="381">
        <f t="shared" si="0"/>
        <v>0</v>
      </c>
      <c r="H19" s="381">
        <f t="shared" si="0"/>
        <v>0</v>
      </c>
      <c r="I19" s="381">
        <f t="shared" si="0"/>
        <v>0</v>
      </c>
      <c r="J19" s="381">
        <f t="shared" si="0"/>
        <v>0</v>
      </c>
      <c r="K19" s="381">
        <f t="shared" si="0"/>
        <v>0</v>
      </c>
      <c r="L19" s="381">
        <f t="shared" si="0"/>
        <v>0</v>
      </c>
      <c r="M19" s="381">
        <f t="shared" si="0"/>
        <v>0</v>
      </c>
      <c r="N19" s="381">
        <f t="shared" si="0"/>
        <v>0</v>
      </c>
      <c r="O19" s="381">
        <f t="shared" si="0"/>
        <v>0</v>
      </c>
      <c r="P19" s="381">
        <f t="shared" si="0"/>
        <v>0</v>
      </c>
      <c r="Q19" s="381">
        <f t="shared" si="0"/>
        <v>0</v>
      </c>
      <c r="R19" s="381">
        <f t="shared" si="0"/>
        <v>0</v>
      </c>
      <c r="S19" s="381">
        <f t="shared" si="0"/>
        <v>0</v>
      </c>
      <c r="T19" s="381">
        <f t="shared" si="0"/>
        <v>0</v>
      </c>
      <c r="U19" s="381">
        <f t="shared" si="0"/>
        <v>0</v>
      </c>
      <c r="V19" s="381">
        <f t="shared" si="0"/>
        <v>0</v>
      </c>
      <c r="X19" s="76"/>
      <c r="Y19" s="77"/>
      <c r="Z19" s="77"/>
      <c r="AA19" s="77"/>
      <c r="AB19" s="77"/>
      <c r="AC19" s="77"/>
      <c r="AD19" s="14"/>
    </row>
    <row r="20" spans="1:30" ht="13.5" thickBot="1">
      <c r="A20" s="389"/>
      <c r="B20" s="388" t="s">
        <v>116</v>
      </c>
      <c r="C20" s="398"/>
      <c r="D20" s="398"/>
      <c r="E20" s="420">
        <f>E19*4.17</f>
        <v>0</v>
      </c>
      <c r="F20" s="420">
        <f>F19*3.33</f>
        <v>0</v>
      </c>
      <c r="G20" s="420">
        <f>G19*2.5</f>
        <v>0</v>
      </c>
      <c r="H20" s="420">
        <f>H19*1.67</f>
        <v>0</v>
      </c>
      <c r="I20" s="420">
        <f>I19*0.83</f>
        <v>0</v>
      </c>
      <c r="J20" s="420">
        <f>J19*0</f>
        <v>0</v>
      </c>
      <c r="K20" s="420">
        <f>K19*4.58</f>
        <v>0</v>
      </c>
      <c r="L20" s="420">
        <f>L19*4.17</f>
        <v>0</v>
      </c>
      <c r="M20" s="420">
        <f>M19*3.75</f>
        <v>0</v>
      </c>
      <c r="N20" s="420">
        <f>N19*3.33</f>
        <v>0</v>
      </c>
      <c r="O20" s="420">
        <f>O19*2.92</f>
        <v>0</v>
      </c>
      <c r="P20" s="420">
        <f>P19*2.5</f>
        <v>0</v>
      </c>
      <c r="Q20" s="420">
        <f>Q19*4.86</f>
        <v>0</v>
      </c>
      <c r="R20" s="420">
        <f>R19*4.44</f>
        <v>0</v>
      </c>
      <c r="S20" s="420">
        <f>S19*3.75</f>
        <v>0</v>
      </c>
      <c r="T20" s="420">
        <f>T19*2.78</f>
        <v>0</v>
      </c>
      <c r="U20" s="420">
        <f>U19*1.53</f>
        <v>0</v>
      </c>
      <c r="V20" s="427">
        <f>V19*0</f>
        <v>0</v>
      </c>
      <c r="X20" s="76"/>
      <c r="Y20" s="77"/>
      <c r="Z20" s="77"/>
      <c r="AA20" s="77"/>
      <c r="AB20" s="77"/>
      <c r="AC20" s="77"/>
      <c r="AD20" s="14"/>
    </row>
    <row r="21" spans="1:30" ht="12.75" customHeight="1">
      <c r="A21" s="711" t="s">
        <v>42</v>
      </c>
      <c r="B21" s="712"/>
      <c r="C21" s="712"/>
      <c r="D21" s="713"/>
      <c r="E21" s="711" t="e">
        <f>SUM(E20:V20)/(SUM(E19:V19))</f>
        <v>#DIV/0!</v>
      </c>
      <c r="F21" s="712"/>
      <c r="G21" s="712"/>
      <c r="H21" s="712"/>
      <c r="I21" s="712"/>
      <c r="J21" s="712"/>
      <c r="K21" s="712"/>
      <c r="L21" s="712"/>
      <c r="M21" s="712"/>
      <c r="N21" s="712"/>
      <c r="O21" s="712"/>
      <c r="P21" s="712"/>
      <c r="Q21" s="712"/>
      <c r="R21" s="712"/>
      <c r="S21" s="712"/>
      <c r="T21" s="712"/>
      <c r="U21" s="712"/>
      <c r="V21" s="713"/>
      <c r="X21" s="76"/>
      <c r="Y21" s="77"/>
      <c r="Z21" s="77"/>
      <c r="AA21" s="77"/>
      <c r="AB21" s="77"/>
      <c r="AC21" s="77"/>
      <c r="AD21" s="14"/>
    </row>
    <row r="22" spans="1:30" ht="13.5" customHeight="1" thickBot="1">
      <c r="A22" s="690"/>
      <c r="B22" s="691"/>
      <c r="C22" s="691"/>
      <c r="D22" s="692"/>
      <c r="E22" s="690"/>
      <c r="F22" s="691"/>
      <c r="G22" s="691"/>
      <c r="H22" s="691"/>
      <c r="I22" s="691"/>
      <c r="J22" s="691"/>
      <c r="K22" s="691"/>
      <c r="L22" s="691"/>
      <c r="M22" s="691"/>
      <c r="N22" s="691"/>
      <c r="O22" s="691"/>
      <c r="P22" s="691"/>
      <c r="Q22" s="691"/>
      <c r="R22" s="691"/>
      <c r="S22" s="691"/>
      <c r="T22" s="691"/>
      <c r="U22" s="691"/>
      <c r="V22" s="692"/>
      <c r="X22" s="76"/>
      <c r="Y22" s="77"/>
      <c r="Z22" s="77"/>
      <c r="AA22" s="77"/>
      <c r="AB22" s="77"/>
      <c r="AC22" s="77"/>
      <c r="AD22" s="14"/>
    </row>
    <row r="23" spans="23:33" ht="12.75">
      <c r="W23" s="539"/>
      <c r="X23" s="77"/>
      <c r="Y23" s="77"/>
      <c r="Z23" s="83"/>
      <c r="AA23" s="77"/>
      <c r="AB23" s="77"/>
      <c r="AC23" s="84"/>
      <c r="AD23" s="76"/>
      <c r="AE23" s="76"/>
      <c r="AF23" s="76"/>
      <c r="AG23" s="76"/>
    </row>
    <row r="24" spans="23:33" ht="18.75">
      <c r="W24" s="115"/>
      <c r="X24" s="86"/>
      <c r="Y24" s="86"/>
      <c r="Z24" s="85"/>
      <c r="AA24" s="86"/>
      <c r="AB24" s="86"/>
      <c r="AC24" s="77"/>
      <c r="AD24" s="76"/>
      <c r="AE24" s="76"/>
      <c r="AF24" s="76"/>
      <c r="AG24" s="76"/>
    </row>
    <row r="25" spans="23:33" ht="12.75">
      <c r="W25" s="115"/>
      <c r="X25" s="79"/>
      <c r="Y25" s="79"/>
      <c r="Z25" s="85"/>
      <c r="AA25" s="79"/>
      <c r="AB25" s="79"/>
      <c r="AC25" s="77"/>
      <c r="AD25" s="76"/>
      <c r="AE25" s="76"/>
      <c r="AF25" s="76"/>
      <c r="AG25" s="76"/>
    </row>
    <row r="26" spans="23:33" ht="12.75">
      <c r="W26" s="115"/>
      <c r="X26" s="79"/>
      <c r="Y26" s="79"/>
      <c r="Z26" s="85"/>
      <c r="AA26" s="79"/>
      <c r="AB26" s="79"/>
      <c r="AC26" s="77"/>
      <c r="AD26" s="76"/>
      <c r="AE26" s="76"/>
      <c r="AF26" s="76"/>
      <c r="AG26" s="76"/>
    </row>
    <row r="27" spans="23:33" ht="12.75">
      <c r="W27" s="115"/>
      <c r="X27" s="79"/>
      <c r="Y27" s="79"/>
      <c r="Z27" s="85"/>
      <c r="AA27" s="79"/>
      <c r="AB27" s="79"/>
      <c r="AC27" s="77"/>
      <c r="AD27" s="76"/>
      <c r="AE27" s="76"/>
      <c r="AF27" s="76"/>
      <c r="AG27" s="76"/>
    </row>
    <row r="28" spans="23:33" ht="12.75">
      <c r="W28" s="115"/>
      <c r="X28" s="79"/>
      <c r="Y28" s="79"/>
      <c r="Z28" s="85"/>
      <c r="AA28" s="79"/>
      <c r="AB28" s="79"/>
      <c r="AC28" s="77"/>
      <c r="AD28" s="76"/>
      <c r="AE28" s="76"/>
      <c r="AF28" s="76"/>
      <c r="AG28" s="76"/>
    </row>
    <row r="29" spans="23:33" ht="12.75">
      <c r="W29" s="115"/>
      <c r="X29" s="79"/>
      <c r="Y29" s="79"/>
      <c r="Z29" s="85"/>
      <c r="AA29" s="79"/>
      <c r="AB29" s="79"/>
      <c r="AC29" s="77"/>
      <c r="AD29" s="76"/>
      <c r="AE29" s="76"/>
      <c r="AF29" s="76"/>
      <c r="AG29" s="76"/>
    </row>
    <row r="30" spans="23:33" ht="12.75">
      <c r="W30" s="115"/>
      <c r="X30" s="79"/>
      <c r="Y30" s="79"/>
      <c r="Z30" s="85"/>
      <c r="AA30" s="79"/>
      <c r="AB30" s="79"/>
      <c r="AC30" s="77"/>
      <c r="AD30" s="76"/>
      <c r="AE30" s="76"/>
      <c r="AF30" s="76"/>
      <c r="AG30" s="76"/>
    </row>
    <row r="31" spans="23:33" ht="12.75">
      <c r="W31" s="390"/>
      <c r="X31" s="79"/>
      <c r="Y31" s="79"/>
      <c r="Z31" s="77"/>
      <c r="AA31" s="79"/>
      <c r="AB31" s="79"/>
      <c r="AC31" s="78"/>
      <c r="AD31" s="76"/>
      <c r="AE31" s="76"/>
      <c r="AF31" s="76"/>
      <c r="AG31" s="76"/>
    </row>
    <row r="32" spans="23:33" ht="12.75">
      <c r="W32" s="390"/>
      <c r="X32" s="77"/>
      <c r="Y32" s="76"/>
      <c r="Z32" s="76"/>
      <c r="AA32" s="76"/>
      <c r="AB32" s="76"/>
      <c r="AC32" s="76"/>
      <c r="AD32" s="76"/>
      <c r="AE32" s="76"/>
      <c r="AF32" s="76"/>
      <c r="AG32" s="76"/>
    </row>
    <row r="33" spans="23:33" ht="12.75">
      <c r="W33" s="390"/>
      <c r="X33" s="77"/>
      <c r="Y33" s="76"/>
      <c r="Z33" s="76"/>
      <c r="AA33" s="76"/>
      <c r="AB33" s="76"/>
      <c r="AC33" s="76"/>
      <c r="AD33" s="76"/>
      <c r="AE33" s="76"/>
      <c r="AF33" s="76"/>
      <c r="AG33" s="76"/>
    </row>
    <row r="34" spans="23:33" ht="12.75">
      <c r="W34" s="390"/>
      <c r="X34" s="77"/>
      <c r="Y34" s="76"/>
      <c r="Z34" s="76"/>
      <c r="AA34" s="76"/>
      <c r="AB34" s="76"/>
      <c r="AC34" s="76"/>
      <c r="AD34" s="76"/>
      <c r="AE34" s="76"/>
      <c r="AF34" s="76"/>
      <c r="AG34" s="76"/>
    </row>
    <row r="35" spans="24:33" ht="12.75">
      <c r="X35" s="76"/>
      <c r="Y35" s="76"/>
      <c r="Z35" s="76"/>
      <c r="AA35" s="76"/>
      <c r="AB35" s="76"/>
      <c r="AC35" s="76"/>
      <c r="AD35" s="76"/>
      <c r="AE35" s="76"/>
      <c r="AF35" s="76"/>
      <c r="AG35" s="76"/>
    </row>
    <row r="36" spans="24:33" ht="12.75">
      <c r="X36" s="76"/>
      <c r="Y36" s="76"/>
      <c r="Z36" s="76"/>
      <c r="AA36" s="76"/>
      <c r="AB36" s="76"/>
      <c r="AC36" s="76"/>
      <c r="AD36" s="76"/>
      <c r="AE36" s="76"/>
      <c r="AF36" s="76"/>
      <c r="AG36" s="76"/>
    </row>
    <row r="37" spans="24:33" ht="12.75">
      <c r="X37" s="76"/>
      <c r="Y37" s="76"/>
      <c r="Z37" s="76"/>
      <c r="AA37" s="76"/>
      <c r="AB37" s="76"/>
      <c r="AC37" s="76"/>
      <c r="AD37" s="76"/>
      <c r="AE37" s="76"/>
      <c r="AF37" s="76"/>
      <c r="AG37" s="76"/>
    </row>
    <row r="38" spans="24:29" ht="12.75">
      <c r="X38" s="76"/>
      <c r="Y38" s="76"/>
      <c r="Z38" s="76"/>
      <c r="AA38" s="76"/>
      <c r="AB38" s="76"/>
      <c r="AC38" s="76"/>
    </row>
    <row r="39" spans="24:29" ht="12.75">
      <c r="X39" s="76"/>
      <c r="Y39" s="76"/>
      <c r="Z39" s="76"/>
      <c r="AA39" s="76"/>
      <c r="AB39" s="76"/>
      <c r="AC39" s="76"/>
    </row>
    <row r="40" spans="24:29" ht="12.75">
      <c r="X40" s="76"/>
      <c r="Y40" s="76"/>
      <c r="Z40" s="76"/>
      <c r="AA40" s="76"/>
      <c r="AB40" s="76"/>
      <c r="AC40" s="76"/>
    </row>
    <row r="41" spans="24:29" ht="12.75">
      <c r="X41" s="76"/>
      <c r="Y41" s="76"/>
      <c r="Z41" s="76"/>
      <c r="AA41" s="76"/>
      <c r="AB41" s="76"/>
      <c r="AC41" s="76"/>
    </row>
    <row r="42" spans="24:29" ht="12.75">
      <c r="X42" s="76"/>
      <c r="Y42" s="76"/>
      <c r="Z42" s="76"/>
      <c r="AA42" s="76"/>
      <c r="AB42" s="76"/>
      <c r="AC42" s="76"/>
    </row>
    <row r="43" spans="24:29" ht="12.75">
      <c r="X43" s="76"/>
      <c r="Y43" s="76"/>
      <c r="Z43" s="76"/>
      <c r="AA43" s="76"/>
      <c r="AB43" s="76"/>
      <c r="AC43" s="76"/>
    </row>
    <row r="44" spans="24:29" ht="12.75">
      <c r="X44" s="76"/>
      <c r="Y44" s="76"/>
      <c r="Z44" s="76"/>
      <c r="AA44" s="76"/>
      <c r="AB44" s="76"/>
      <c r="AC44" s="76"/>
    </row>
    <row r="45" spans="24:29" ht="12.75">
      <c r="X45" s="76"/>
      <c r="Y45" s="76"/>
      <c r="Z45" s="76"/>
      <c r="AA45" s="76"/>
      <c r="AB45" s="76"/>
      <c r="AC45" s="76"/>
    </row>
    <row r="46" spans="24:29" ht="12.75">
      <c r="X46" s="76"/>
      <c r="Y46" s="76"/>
      <c r="Z46" s="76"/>
      <c r="AA46" s="76"/>
      <c r="AB46" s="76"/>
      <c r="AC46" s="76"/>
    </row>
    <row r="47" spans="24:29" ht="12.75">
      <c r="X47" s="76"/>
      <c r="Y47" s="76"/>
      <c r="Z47" s="76"/>
      <c r="AA47" s="76"/>
      <c r="AB47" s="76"/>
      <c r="AC47" s="76"/>
    </row>
    <row r="48" spans="24:29" ht="12.75">
      <c r="X48" s="76"/>
      <c r="Y48" s="76"/>
      <c r="Z48" s="76"/>
      <c r="AA48" s="76"/>
      <c r="AB48" s="76"/>
      <c r="AC48" s="76"/>
    </row>
    <row r="49" spans="24:29" ht="12.75">
      <c r="X49" s="76"/>
      <c r="Y49" s="76"/>
      <c r="Z49" s="76"/>
      <c r="AA49" s="76"/>
      <c r="AB49" s="76"/>
      <c r="AC49" s="76"/>
    </row>
    <row r="50" spans="24:29" ht="12.75">
      <c r="X50" s="76"/>
      <c r="Y50" s="76"/>
      <c r="Z50" s="76"/>
      <c r="AA50" s="76"/>
      <c r="AB50" s="76"/>
      <c r="AC50" s="76"/>
    </row>
    <row r="51" spans="24:29" ht="12.75">
      <c r="X51" s="76"/>
      <c r="Y51" s="76"/>
      <c r="Z51" s="76"/>
      <c r="AA51" s="76"/>
      <c r="AB51" s="76"/>
      <c r="AC51" s="76"/>
    </row>
    <row r="52" spans="24:29" ht="12.75">
      <c r="X52" s="76"/>
      <c r="Y52" s="76"/>
      <c r="Z52" s="76"/>
      <c r="AA52" s="76"/>
      <c r="AB52" s="76"/>
      <c r="AC52" s="76"/>
    </row>
    <row r="53" spans="24:29" ht="12.75">
      <c r="X53" s="76"/>
      <c r="Y53" s="76"/>
      <c r="Z53" s="76"/>
      <c r="AA53" s="76"/>
      <c r="AB53" s="76"/>
      <c r="AC53" s="76"/>
    </row>
    <row r="54" spans="24:29" ht="12.75">
      <c r="X54" s="76"/>
      <c r="Y54" s="76"/>
      <c r="Z54" s="76"/>
      <c r="AA54" s="76"/>
      <c r="AB54" s="76"/>
      <c r="AC54" s="76"/>
    </row>
    <row r="55" spans="24:29" ht="12.75">
      <c r="X55" s="76"/>
      <c r="Y55" s="76"/>
      <c r="Z55" s="76"/>
      <c r="AA55" s="76"/>
      <c r="AB55" s="76"/>
      <c r="AC55" s="76"/>
    </row>
    <row r="56" spans="24:29" ht="12.75">
      <c r="X56" s="76"/>
      <c r="Y56" s="76"/>
      <c r="Z56" s="76"/>
      <c r="AA56" s="76"/>
      <c r="AB56" s="76"/>
      <c r="AC56" s="76"/>
    </row>
    <row r="57" spans="24:29" ht="12.75">
      <c r="X57" s="76"/>
      <c r="Y57" s="76"/>
      <c r="Z57" s="76"/>
      <c r="AA57" s="76"/>
      <c r="AB57" s="76"/>
      <c r="AC57" s="76"/>
    </row>
    <row r="58" spans="24:29" ht="12.75">
      <c r="X58" s="76"/>
      <c r="Y58" s="76"/>
      <c r="Z58" s="76"/>
      <c r="AA58" s="76"/>
      <c r="AB58" s="76"/>
      <c r="AC58" s="76"/>
    </row>
    <row r="59" spans="24:29" ht="12.75">
      <c r="X59" s="76"/>
      <c r="Y59" s="76"/>
      <c r="Z59" s="76"/>
      <c r="AA59" s="76"/>
      <c r="AB59" s="76"/>
      <c r="AC59" s="76"/>
    </row>
    <row r="60" spans="24:29" ht="12.75">
      <c r="X60" s="76"/>
      <c r="Y60" s="76"/>
      <c r="Z60" s="76"/>
      <c r="AA60" s="76"/>
      <c r="AB60" s="76"/>
      <c r="AC60" s="76"/>
    </row>
    <row r="61" spans="24:29" ht="12.75">
      <c r="X61" s="76"/>
      <c r="Y61" s="76"/>
      <c r="Z61" s="76"/>
      <c r="AA61" s="76"/>
      <c r="AB61" s="76"/>
      <c r="AC61" s="76"/>
    </row>
    <row r="62" spans="24:29" ht="12.75">
      <c r="X62" s="76"/>
      <c r="Y62" s="76"/>
      <c r="Z62" s="76"/>
      <c r="AA62" s="76"/>
      <c r="AB62" s="76"/>
      <c r="AC62" s="76"/>
    </row>
    <row r="63" spans="24:29" ht="12.75">
      <c r="X63" s="76"/>
      <c r="Y63" s="76"/>
      <c r="Z63" s="76"/>
      <c r="AA63" s="76"/>
      <c r="AB63" s="76"/>
      <c r="AC63" s="76"/>
    </row>
    <row r="64" spans="24:29" ht="12.75">
      <c r="X64" s="76"/>
      <c r="Y64" s="76"/>
      <c r="Z64" s="76"/>
      <c r="AA64" s="76"/>
      <c r="AB64" s="76"/>
      <c r="AC64" s="76"/>
    </row>
    <row r="65" spans="24:29" ht="12.75">
      <c r="X65" s="76"/>
      <c r="Y65" s="76"/>
      <c r="Z65" s="76"/>
      <c r="AA65" s="76"/>
      <c r="AB65" s="76"/>
      <c r="AC65" s="76"/>
    </row>
    <row r="66" spans="24:29" ht="12.75">
      <c r="X66" s="76"/>
      <c r="Y66" s="76"/>
      <c r="Z66" s="76"/>
      <c r="AA66" s="76"/>
      <c r="AB66" s="76"/>
      <c r="AC66" s="76"/>
    </row>
    <row r="67" spans="24:29" ht="12.75">
      <c r="X67" s="76"/>
      <c r="Y67" s="76"/>
      <c r="Z67" s="76"/>
      <c r="AA67" s="76"/>
      <c r="AB67" s="76"/>
      <c r="AC67" s="76"/>
    </row>
    <row r="68" spans="24:29" ht="12.75">
      <c r="X68" s="76"/>
      <c r="Y68" s="76"/>
      <c r="Z68" s="76"/>
      <c r="AA68" s="76"/>
      <c r="AB68" s="76"/>
      <c r="AC68" s="76"/>
    </row>
    <row r="69" spans="24:29" ht="12.75">
      <c r="X69" s="76"/>
      <c r="Y69" s="76"/>
      <c r="Z69" s="76"/>
      <c r="AA69" s="76"/>
      <c r="AB69" s="76"/>
      <c r="AC69" s="76"/>
    </row>
    <row r="70" spans="24:29" ht="12.75">
      <c r="X70" s="76"/>
      <c r="Y70" s="76"/>
      <c r="Z70" s="76"/>
      <c r="AA70" s="76"/>
      <c r="AB70" s="76"/>
      <c r="AC70" s="76"/>
    </row>
    <row r="71" spans="24:29" ht="12.75">
      <c r="X71" s="76"/>
      <c r="Y71" s="76"/>
      <c r="Z71" s="76"/>
      <c r="AA71" s="76"/>
      <c r="AB71" s="76"/>
      <c r="AC71" s="76"/>
    </row>
    <row r="72" spans="24:29" ht="12.75">
      <c r="X72" s="76"/>
      <c r="Y72" s="76"/>
      <c r="Z72" s="76"/>
      <c r="AA72" s="76"/>
      <c r="AB72" s="76"/>
      <c r="AC72" s="76"/>
    </row>
    <row r="73" spans="24:29" ht="12.75">
      <c r="X73" s="76"/>
      <c r="Y73" s="76"/>
      <c r="Z73" s="76"/>
      <c r="AA73" s="76"/>
      <c r="AB73" s="76"/>
      <c r="AC73" s="76"/>
    </row>
    <row r="74" spans="24:29" ht="12.75">
      <c r="X74" s="76"/>
      <c r="Y74" s="76"/>
      <c r="Z74" s="76"/>
      <c r="AA74" s="76"/>
      <c r="AB74" s="76"/>
      <c r="AC74" s="76"/>
    </row>
    <row r="75" spans="24:29" ht="12.75">
      <c r="X75" s="76"/>
      <c r="Y75" s="76"/>
      <c r="Z75" s="76"/>
      <c r="AA75" s="76"/>
      <c r="AB75" s="76"/>
      <c r="AC75" s="76"/>
    </row>
    <row r="76" spans="24:29" ht="12.75">
      <c r="X76" s="76"/>
      <c r="Y76" s="76"/>
      <c r="Z76" s="76"/>
      <c r="AA76" s="76"/>
      <c r="AB76" s="76"/>
      <c r="AC76" s="76"/>
    </row>
    <row r="77" spans="24:29" ht="12.75">
      <c r="X77" s="76"/>
      <c r="Y77" s="76"/>
      <c r="Z77" s="76"/>
      <c r="AA77" s="76"/>
      <c r="AB77" s="76"/>
      <c r="AC77" s="76"/>
    </row>
    <row r="78" spans="24:29" ht="12.75">
      <c r="X78" s="76"/>
      <c r="Y78" s="76"/>
      <c r="Z78" s="76"/>
      <c r="AA78" s="76"/>
      <c r="AB78" s="76"/>
      <c r="AC78" s="76"/>
    </row>
    <row r="79" spans="24:29" ht="12.75">
      <c r="X79" s="76"/>
      <c r="Y79" s="76"/>
      <c r="Z79" s="76"/>
      <c r="AA79" s="76"/>
      <c r="AB79" s="76"/>
      <c r="AC79" s="76"/>
    </row>
    <row r="80" spans="24:29" ht="12.75">
      <c r="X80" s="76"/>
      <c r="Y80" s="76"/>
      <c r="Z80" s="76"/>
      <c r="AA80" s="76"/>
      <c r="AB80" s="76"/>
      <c r="AC80" s="76"/>
    </row>
    <row r="81" spans="24:29" ht="12.75">
      <c r="X81" s="76"/>
      <c r="Y81" s="76"/>
      <c r="Z81" s="76"/>
      <c r="AA81" s="76"/>
      <c r="AB81" s="76"/>
      <c r="AC81" s="76"/>
    </row>
    <row r="82" spans="24:29" ht="12.75">
      <c r="X82" s="76"/>
      <c r="Y82" s="76"/>
      <c r="Z82" s="76"/>
      <c r="AA82" s="76"/>
      <c r="AB82" s="76"/>
      <c r="AC82" s="76"/>
    </row>
    <row r="83" spans="24:29" ht="12.75">
      <c r="X83" s="76"/>
      <c r="Y83" s="76"/>
      <c r="Z83" s="76"/>
      <c r="AA83" s="76"/>
      <c r="AB83" s="76"/>
      <c r="AC83" s="76"/>
    </row>
    <row r="84" spans="24:29" ht="12.75">
      <c r="X84" s="76"/>
      <c r="Y84" s="76"/>
      <c r="Z84" s="76"/>
      <c r="AA84" s="76"/>
      <c r="AB84" s="76"/>
      <c r="AC84" s="76"/>
    </row>
    <row r="85" spans="24:29" ht="12.75">
      <c r="X85" s="76"/>
      <c r="Y85" s="76"/>
      <c r="Z85" s="76"/>
      <c r="AA85" s="76"/>
      <c r="AB85" s="76"/>
      <c r="AC85" s="76"/>
    </row>
    <row r="86" spans="24:29" ht="12.75">
      <c r="X86" s="76"/>
      <c r="Y86" s="76"/>
      <c r="Z86" s="76"/>
      <c r="AA86" s="76"/>
      <c r="AB86" s="76"/>
      <c r="AC86" s="76"/>
    </row>
    <row r="87" spans="24:29" ht="12.75">
      <c r="X87" s="76"/>
      <c r="Y87" s="76"/>
      <c r="Z87" s="76"/>
      <c r="AA87" s="76"/>
      <c r="AB87" s="76"/>
      <c r="AC87" s="76"/>
    </row>
    <row r="88" spans="24:29" ht="12.75">
      <c r="X88" s="76"/>
      <c r="Y88" s="76"/>
      <c r="Z88" s="76"/>
      <c r="AA88" s="76"/>
      <c r="AB88" s="76"/>
      <c r="AC88" s="76"/>
    </row>
    <row r="89" spans="24:29" ht="12.75">
      <c r="X89" s="76"/>
      <c r="Y89" s="76"/>
      <c r="Z89" s="76"/>
      <c r="AA89" s="76"/>
      <c r="AB89" s="76"/>
      <c r="AC89" s="76"/>
    </row>
    <row r="90" spans="24:29" ht="12.75">
      <c r="X90" s="76"/>
      <c r="Y90" s="76"/>
      <c r="Z90" s="76"/>
      <c r="AA90" s="76"/>
      <c r="AB90" s="76"/>
      <c r="AC90" s="76"/>
    </row>
    <row r="91" spans="24:29" ht="12.75">
      <c r="X91" s="76"/>
      <c r="Y91" s="76"/>
      <c r="Z91" s="76"/>
      <c r="AA91" s="76"/>
      <c r="AB91" s="76"/>
      <c r="AC91" s="76"/>
    </row>
    <row r="92" spans="24:29" ht="12.75">
      <c r="X92" s="76"/>
      <c r="Y92" s="76"/>
      <c r="Z92" s="76"/>
      <c r="AA92" s="76"/>
      <c r="AB92" s="76"/>
      <c r="AC92" s="76"/>
    </row>
    <row r="93" spans="24:29" ht="12.75">
      <c r="X93" s="76"/>
      <c r="Y93" s="76"/>
      <c r="Z93" s="76"/>
      <c r="AA93" s="76"/>
      <c r="AB93" s="76"/>
      <c r="AC93" s="76"/>
    </row>
    <row r="94" spans="24:29" ht="12.75">
      <c r="X94" s="76"/>
      <c r="Y94" s="76"/>
      <c r="Z94" s="76"/>
      <c r="AA94" s="76"/>
      <c r="AB94" s="76"/>
      <c r="AC94" s="76"/>
    </row>
    <row r="95" spans="24:29" ht="12.75">
      <c r="X95" s="76"/>
      <c r="Y95" s="76"/>
      <c r="Z95" s="76"/>
      <c r="AA95" s="76"/>
      <c r="AB95" s="76"/>
      <c r="AC95" s="76"/>
    </row>
    <row r="96" spans="24:29" ht="12.75">
      <c r="X96" s="76"/>
      <c r="Y96" s="76"/>
      <c r="Z96" s="76"/>
      <c r="AA96" s="76"/>
      <c r="AB96" s="76"/>
      <c r="AC96" s="76"/>
    </row>
    <row r="97" spans="24:29" ht="12.75">
      <c r="X97" s="76"/>
      <c r="Y97" s="76"/>
      <c r="Z97" s="76"/>
      <c r="AA97" s="76"/>
      <c r="AB97" s="76"/>
      <c r="AC97" s="76"/>
    </row>
    <row r="98" spans="24:29" ht="12.75">
      <c r="X98" s="76"/>
      <c r="Y98" s="76"/>
      <c r="Z98" s="76"/>
      <c r="AA98" s="76"/>
      <c r="AB98" s="76"/>
      <c r="AC98" s="76"/>
    </row>
    <row r="99" spans="24:29" ht="12.75">
      <c r="X99" s="76"/>
      <c r="Y99" s="76"/>
      <c r="Z99" s="76"/>
      <c r="AA99" s="76"/>
      <c r="AB99" s="76"/>
      <c r="AC99" s="76"/>
    </row>
    <row r="100" spans="24:29" ht="12.75">
      <c r="X100" s="76"/>
      <c r="Y100" s="76"/>
      <c r="Z100" s="76"/>
      <c r="AA100" s="76"/>
      <c r="AB100" s="76"/>
      <c r="AC100" s="76"/>
    </row>
    <row r="101" spans="24:29" ht="12.75">
      <c r="X101" s="76"/>
      <c r="Y101" s="76"/>
      <c r="Z101" s="76"/>
      <c r="AA101" s="76"/>
      <c r="AB101" s="76"/>
      <c r="AC101" s="76"/>
    </row>
    <row r="102" spans="24:29" ht="12.75">
      <c r="X102" s="76"/>
      <c r="Y102" s="76"/>
      <c r="Z102" s="76"/>
      <c r="AA102" s="76"/>
      <c r="AB102" s="76"/>
      <c r="AC102" s="76"/>
    </row>
    <row r="103" spans="24:29" ht="12.75">
      <c r="X103" s="76"/>
      <c r="Y103" s="76"/>
      <c r="Z103" s="76"/>
      <c r="AA103" s="76"/>
      <c r="AB103" s="76"/>
      <c r="AC103" s="76"/>
    </row>
    <row r="104" spans="24:29" ht="12.75">
      <c r="X104" s="76"/>
      <c r="Y104" s="76"/>
      <c r="Z104" s="76"/>
      <c r="AA104" s="76"/>
      <c r="AB104" s="76"/>
      <c r="AC104" s="76"/>
    </row>
    <row r="105" spans="24:29" ht="12.75">
      <c r="X105" s="76"/>
      <c r="Y105" s="76"/>
      <c r="Z105" s="76"/>
      <c r="AA105" s="76"/>
      <c r="AB105" s="76"/>
      <c r="AC105" s="76"/>
    </row>
    <row r="106" spans="24:29" ht="12.75">
      <c r="X106" s="76"/>
      <c r="Y106" s="76"/>
      <c r="Z106" s="76"/>
      <c r="AA106" s="76"/>
      <c r="AB106" s="76"/>
      <c r="AC106" s="76"/>
    </row>
    <row r="107" spans="24:29" ht="12.75">
      <c r="X107" s="76"/>
      <c r="Y107" s="76"/>
      <c r="Z107" s="76"/>
      <c r="AA107" s="76"/>
      <c r="AB107" s="76"/>
      <c r="AC107" s="76"/>
    </row>
  </sheetData>
  <mergeCells count="6">
    <mergeCell ref="A21:D22"/>
    <mergeCell ref="E21:V22"/>
    <mergeCell ref="Q4:V4"/>
    <mergeCell ref="E3:V3"/>
    <mergeCell ref="E4:J4"/>
    <mergeCell ref="K4:P4"/>
  </mergeCells>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dimension ref="A1:O83"/>
  <sheetViews>
    <sheetView workbookViewId="0" topLeftCell="A1">
      <selection activeCell="B21" sqref="B21"/>
    </sheetView>
  </sheetViews>
  <sheetFormatPr defaultColWidth="11.421875" defaultRowHeight="12.75"/>
  <cols>
    <col min="1" max="1" width="4.140625" style="368" customWidth="1"/>
    <col min="2" max="2" width="25.7109375" style="368" customWidth="1"/>
    <col min="3" max="3" width="23.28125" style="368" customWidth="1"/>
    <col min="4" max="4" width="36.421875" style="368" customWidth="1"/>
    <col min="5" max="5" width="6.28125" style="368" customWidth="1"/>
    <col min="6" max="12" width="4.7109375" style="368" customWidth="1"/>
  </cols>
  <sheetData>
    <row r="1" spans="1:12" s="13" customFormat="1" ht="18.75" thickBot="1">
      <c r="A1" s="397" t="s">
        <v>21</v>
      </c>
      <c r="B1" s="398"/>
      <c r="C1" s="398"/>
      <c r="D1" s="398"/>
      <c r="E1" s="398"/>
      <c r="F1" s="398"/>
      <c r="G1" s="398"/>
      <c r="H1" s="398"/>
      <c r="I1" s="398"/>
      <c r="J1" s="398"/>
      <c r="K1" s="398"/>
      <c r="L1" s="398"/>
    </row>
    <row r="2" spans="13:15" ht="12.75">
      <c r="M2" s="76"/>
      <c r="N2" s="76"/>
      <c r="O2" s="76"/>
    </row>
    <row r="3" spans="13:15" ht="12.75">
      <c r="M3" s="76"/>
      <c r="N3" s="76"/>
      <c r="O3" s="76"/>
    </row>
    <row r="4" spans="2:15" ht="20.25">
      <c r="B4" s="519" t="s">
        <v>10</v>
      </c>
      <c r="M4" s="76"/>
      <c r="N4" s="76"/>
      <c r="O4" s="76"/>
    </row>
    <row r="5" spans="2:15" ht="21" thickBot="1">
      <c r="B5" s="517"/>
      <c r="E5" s="390"/>
      <c r="F5" s="390"/>
      <c r="G5" s="390"/>
      <c r="H5" s="390"/>
      <c r="I5" s="390"/>
      <c r="M5" s="76"/>
      <c r="N5" s="76"/>
      <c r="O5" s="76"/>
    </row>
    <row r="6" spans="2:15" ht="24" customHeight="1" thickBot="1">
      <c r="B6" s="520" t="s">
        <v>2</v>
      </c>
      <c r="C6" s="771" t="s">
        <v>3</v>
      </c>
      <c r="D6" s="772"/>
      <c r="E6" s="772"/>
      <c r="F6" s="772"/>
      <c r="G6" s="772"/>
      <c r="H6" s="772"/>
      <c r="I6" s="772"/>
      <c r="J6" s="772"/>
      <c r="K6" s="772"/>
      <c r="L6" s="772"/>
      <c r="M6" s="773"/>
      <c r="N6" s="76"/>
      <c r="O6" s="76"/>
    </row>
    <row r="7" spans="2:15" ht="16.5" thickBot="1">
      <c r="B7" s="521" t="s">
        <v>224</v>
      </c>
      <c r="C7" s="774" t="s">
        <v>4</v>
      </c>
      <c r="D7" s="775"/>
      <c r="E7" s="775"/>
      <c r="F7" s="775"/>
      <c r="G7" s="775"/>
      <c r="H7" s="775"/>
      <c r="I7" s="775"/>
      <c r="J7" s="775"/>
      <c r="K7" s="775"/>
      <c r="L7" s="775"/>
      <c r="M7" s="776"/>
      <c r="N7" s="76"/>
      <c r="O7" s="76"/>
    </row>
    <row r="8" spans="2:15" ht="16.5" thickBot="1">
      <c r="B8" s="521" t="s">
        <v>225</v>
      </c>
      <c r="C8" s="777" t="s">
        <v>5</v>
      </c>
      <c r="D8" s="778"/>
      <c r="E8" s="778"/>
      <c r="F8" s="778"/>
      <c r="G8" s="778"/>
      <c r="H8" s="778"/>
      <c r="I8" s="778"/>
      <c r="J8" s="778"/>
      <c r="K8" s="778"/>
      <c r="L8" s="778"/>
      <c r="M8" s="779"/>
      <c r="N8" s="76"/>
      <c r="O8" s="76"/>
    </row>
    <row r="9" spans="2:15" ht="16.5" thickBot="1">
      <c r="B9" s="521" t="s">
        <v>226</v>
      </c>
      <c r="C9" s="774" t="s">
        <v>6</v>
      </c>
      <c r="D9" s="775"/>
      <c r="E9" s="775"/>
      <c r="F9" s="775"/>
      <c r="G9" s="775"/>
      <c r="H9" s="775"/>
      <c r="I9" s="775"/>
      <c r="J9" s="775"/>
      <c r="K9" s="775"/>
      <c r="L9" s="775"/>
      <c r="M9" s="776"/>
      <c r="N9" s="76"/>
      <c r="O9" s="76"/>
    </row>
    <row r="10" spans="2:15" ht="16.5" customHeight="1" thickBot="1">
      <c r="B10" s="522" t="s">
        <v>227</v>
      </c>
      <c r="C10" s="777" t="s">
        <v>7</v>
      </c>
      <c r="D10" s="778"/>
      <c r="E10" s="778"/>
      <c r="F10" s="778"/>
      <c r="G10" s="778"/>
      <c r="H10" s="778"/>
      <c r="I10" s="778"/>
      <c r="J10" s="778"/>
      <c r="K10" s="778"/>
      <c r="L10" s="778"/>
      <c r="M10" s="779"/>
      <c r="N10" s="76"/>
      <c r="O10" s="76"/>
    </row>
    <row r="11" spans="2:15" ht="16.5" thickBot="1">
      <c r="B11" s="523" t="s">
        <v>228</v>
      </c>
      <c r="C11" s="785" t="s">
        <v>230</v>
      </c>
      <c r="D11" s="786"/>
      <c r="E11" s="786"/>
      <c r="F11" s="786"/>
      <c r="G11" s="786"/>
      <c r="H11" s="786"/>
      <c r="I11" s="786"/>
      <c r="J11" s="786"/>
      <c r="K11" s="786"/>
      <c r="L11" s="786"/>
      <c r="M11" s="776"/>
      <c r="N11" s="76"/>
      <c r="O11" s="76"/>
    </row>
    <row r="12" spans="2:15" ht="16.5" thickBot="1">
      <c r="B12" s="521" t="s">
        <v>229</v>
      </c>
      <c r="C12" s="777" t="s">
        <v>8</v>
      </c>
      <c r="D12" s="778"/>
      <c r="E12" s="778"/>
      <c r="F12" s="778"/>
      <c r="G12" s="778"/>
      <c r="H12" s="778"/>
      <c r="I12" s="778"/>
      <c r="J12" s="778"/>
      <c r="K12" s="778"/>
      <c r="L12" s="778"/>
      <c r="M12" s="779"/>
      <c r="N12" s="76"/>
      <c r="O12" s="76"/>
    </row>
    <row r="13" spans="2:15" ht="16.5" thickBot="1">
      <c r="B13" s="521" t="s">
        <v>229</v>
      </c>
      <c r="C13" s="774" t="s">
        <v>9</v>
      </c>
      <c r="D13" s="775"/>
      <c r="E13" s="775"/>
      <c r="F13" s="775"/>
      <c r="G13" s="775"/>
      <c r="H13" s="775"/>
      <c r="I13" s="775"/>
      <c r="J13" s="775"/>
      <c r="K13" s="775"/>
      <c r="L13" s="775"/>
      <c r="M13" s="776"/>
      <c r="N13" s="76"/>
      <c r="O13" s="76"/>
    </row>
    <row r="14" spans="3:15" ht="15.75">
      <c r="C14" s="518"/>
      <c r="E14" s="113"/>
      <c r="F14" s="401"/>
      <c r="G14" s="407"/>
      <c r="H14" s="390"/>
      <c r="I14" s="390"/>
      <c r="M14" s="76"/>
      <c r="N14" s="76"/>
      <c r="O14" s="76"/>
    </row>
    <row r="15" spans="13:15" ht="13.5" thickBot="1">
      <c r="M15" s="76"/>
      <c r="N15" s="76"/>
      <c r="O15" s="76"/>
    </row>
    <row r="16" spans="1:15" ht="16.5" thickBot="1">
      <c r="A16" s="391"/>
      <c r="B16" s="416" t="s">
        <v>11</v>
      </c>
      <c r="C16" s="417" t="s">
        <v>17</v>
      </c>
      <c r="D16" s="418"/>
      <c r="E16" s="524" t="s">
        <v>215</v>
      </c>
      <c r="F16" s="720" t="s">
        <v>223</v>
      </c>
      <c r="G16" s="695"/>
      <c r="H16" s="695"/>
      <c r="I16" s="695"/>
      <c r="J16" s="695"/>
      <c r="K16" s="695"/>
      <c r="L16" s="694"/>
      <c r="M16" s="76"/>
      <c r="N16" s="76"/>
      <c r="O16" s="76"/>
    </row>
    <row r="17" spans="1:15" ht="13.5" thickBot="1">
      <c r="A17" s="389"/>
      <c r="B17" s="398"/>
      <c r="C17" s="398"/>
      <c r="D17" s="398"/>
      <c r="E17" s="372"/>
      <c r="F17" s="352" t="s">
        <v>216</v>
      </c>
      <c r="G17" s="384" t="s">
        <v>217</v>
      </c>
      <c r="H17" s="411" t="s">
        <v>218</v>
      </c>
      <c r="I17" s="440" t="s">
        <v>219</v>
      </c>
      <c r="J17" s="525" t="s">
        <v>220</v>
      </c>
      <c r="K17" s="440" t="s">
        <v>221</v>
      </c>
      <c r="L17" s="441" t="s">
        <v>222</v>
      </c>
      <c r="M17" s="76"/>
      <c r="N17" s="76"/>
      <c r="O17" s="76"/>
    </row>
    <row r="18" spans="1:15" ht="13.5" thickBot="1">
      <c r="A18" s="392"/>
      <c r="B18" s="421" t="s">
        <v>12</v>
      </c>
      <c r="C18" s="422"/>
      <c r="D18" s="422"/>
      <c r="E18" s="349"/>
      <c r="F18" s="526">
        <f>'CUARTEL GENERAL'!E18+'CUARTEL GENERAL'!E17</f>
        <v>0</v>
      </c>
      <c r="G18" s="527">
        <f>'CUARTEL GENERAL'!H120</f>
        <v>0</v>
      </c>
      <c r="H18" s="527">
        <f>'CUARTEL GENERAL'!H119</f>
        <v>0</v>
      </c>
      <c r="I18" s="527">
        <f>'CUARTEL GENERAL'!H122</f>
        <v>0</v>
      </c>
      <c r="J18" s="527">
        <f>'CUARTEL GENERAL'!H121</f>
        <v>0</v>
      </c>
      <c r="K18" s="527">
        <f>'CUARTEL GENERAL'!H118</f>
        <v>0</v>
      </c>
      <c r="L18" s="528"/>
      <c r="M18" s="76"/>
      <c r="N18" s="76"/>
      <c r="O18" s="76"/>
    </row>
    <row r="19" spans="1:15" ht="13.5" thickBot="1">
      <c r="A19" s="391"/>
      <c r="B19" s="529" t="s">
        <v>471</v>
      </c>
      <c r="C19" s="398"/>
      <c r="D19" s="398"/>
      <c r="E19" s="351"/>
      <c r="F19" s="530"/>
      <c r="G19" s="531"/>
      <c r="H19" s="531"/>
      <c r="I19" s="531">
        <f>LINEA!E8+LINEA!H20+LINEA!H21+LINEA!H26</f>
        <v>0</v>
      </c>
      <c r="J19" s="531">
        <f>LINEA!H31+LINEA!E10</f>
        <v>0</v>
      </c>
      <c r="K19" s="531">
        <f>LINEA!E5-LINEA!E8-LINEA!E10</f>
        <v>0</v>
      </c>
      <c r="L19" s="532"/>
      <c r="M19" s="76"/>
      <c r="N19" s="76"/>
      <c r="O19" s="76"/>
    </row>
    <row r="20" spans="1:15" ht="13.5" thickBot="1">
      <c r="A20" s="389"/>
      <c r="B20" s="388" t="s">
        <v>14</v>
      </c>
      <c r="C20" s="398"/>
      <c r="D20" s="398"/>
      <c r="E20" s="351"/>
      <c r="F20" s="530"/>
      <c r="G20" s="531"/>
      <c r="H20" s="531"/>
      <c r="I20" s="531">
        <f>ELITE!E8+ELITE!E25+ELITE!E51</f>
        <v>0</v>
      </c>
      <c r="J20" s="531">
        <f>ELITE!E6-ELITE!E8+ELITE!E27+ELITE!E53+ELITE!E36+ELITE!K12+ELITE!K13</f>
        <v>0</v>
      </c>
      <c r="K20" s="531">
        <f>ELITE!K23+ELITE!K25-ELITE!E25-ELITE!E27+ELITE!E48-ELITE!E51-ELITE!E53</f>
        <v>0</v>
      </c>
      <c r="L20" s="532"/>
      <c r="M20" s="76"/>
      <c r="N20" s="76"/>
      <c r="O20" s="76"/>
    </row>
    <row r="21" spans="1:15" s="2" customFormat="1" ht="13.5" thickBot="1">
      <c r="A21" s="395"/>
      <c r="B21" s="388" t="s">
        <v>15</v>
      </c>
      <c r="C21" s="388"/>
      <c r="D21" s="398"/>
      <c r="E21" s="351"/>
      <c r="F21" s="530">
        <f>'A.RAPIDO'!H24+'A.RAPIDO'!E29</f>
        <v>0</v>
      </c>
      <c r="G21" s="531">
        <f>'A.RAPIDO'!E20+'A.RAPIDO'!H22+'A.RAPIDO'!H23</f>
        <v>0</v>
      </c>
      <c r="H21" s="531">
        <f>'A.RAPIDO'!E6</f>
        <v>0</v>
      </c>
      <c r="I21" s="531"/>
      <c r="J21" s="531"/>
      <c r="K21" s="531"/>
      <c r="L21" s="532"/>
      <c r="M21" s="81"/>
      <c r="N21" s="81"/>
      <c r="O21" s="81"/>
    </row>
    <row r="22" spans="1:15" ht="13.5" thickBot="1">
      <c r="A22" s="389"/>
      <c r="B22" s="388" t="s">
        <v>16</v>
      </c>
      <c r="C22" s="398"/>
      <c r="D22" s="398"/>
      <c r="E22" s="351"/>
      <c r="F22" s="530"/>
      <c r="G22" s="531"/>
      <c r="H22" s="531"/>
      <c r="I22" s="531">
        <f>'A.PESADO'!E9+'A.PESADO'!H18+'A.PESADO'!H23+'A.PESADO'!H28+'A.PESADO'!H29+'A.PESADO'!H30+'A.PESADO'!H31+'A.PESADO'!H32+'A.PESADO'!H33+'A.PESADO'!H43</f>
        <v>0</v>
      </c>
      <c r="J22" s="531">
        <f>'A.PESADO'!E11+'A.PESADO'!H38</f>
        <v>0</v>
      </c>
      <c r="K22" s="531">
        <f>'A.PESADO'!E6-'A.PESADO'!E9-'A.PESADO'!E11</f>
        <v>0</v>
      </c>
      <c r="L22" s="532"/>
      <c r="M22" s="76"/>
      <c r="N22" s="76"/>
      <c r="O22" s="76"/>
    </row>
    <row r="23" spans="1:15" ht="13.5" thickBot="1">
      <c r="A23" s="389"/>
      <c r="B23" s="388" t="s">
        <v>18</v>
      </c>
      <c r="C23" s="398"/>
      <c r="D23" s="398"/>
      <c r="E23" s="351">
        <f aca="true" t="shared" si="0" ref="E23:L23">SUM(E24:E29)</f>
        <v>0</v>
      </c>
      <c r="F23" s="530">
        <f t="shared" si="0"/>
        <v>0</v>
      </c>
      <c r="G23" s="531">
        <f t="shared" si="0"/>
        <v>0</v>
      </c>
      <c r="H23" s="531">
        <f t="shared" si="0"/>
        <v>0</v>
      </c>
      <c r="I23" s="531">
        <f t="shared" si="0"/>
        <v>0</v>
      </c>
      <c r="J23" s="531">
        <f t="shared" si="0"/>
        <v>0</v>
      </c>
      <c r="K23" s="531">
        <f t="shared" si="0"/>
        <v>0</v>
      </c>
      <c r="L23" s="532">
        <f t="shared" si="0"/>
        <v>0</v>
      </c>
      <c r="M23" s="76"/>
      <c r="N23" s="76"/>
      <c r="O23" s="76"/>
    </row>
    <row r="24" spans="1:15" ht="12.75">
      <c r="A24" s="393">
        <v>1</v>
      </c>
      <c r="B24" s="111"/>
      <c r="C24" s="390"/>
      <c r="D24" s="390"/>
      <c r="E24" s="425"/>
      <c r="F24" s="533"/>
      <c r="G24" s="534"/>
      <c r="H24" s="534"/>
      <c r="I24" s="534"/>
      <c r="J24" s="534"/>
      <c r="K24" s="534"/>
      <c r="L24" s="535"/>
      <c r="M24" s="76"/>
      <c r="N24" s="76"/>
      <c r="O24" s="76"/>
    </row>
    <row r="25" spans="1:15" ht="12.75">
      <c r="A25" s="393">
        <v>2</v>
      </c>
      <c r="B25" s="111"/>
      <c r="C25" s="390"/>
      <c r="D25" s="390"/>
      <c r="E25" s="425"/>
      <c r="F25" s="533"/>
      <c r="G25" s="534"/>
      <c r="H25" s="534"/>
      <c r="I25" s="534"/>
      <c r="J25" s="534"/>
      <c r="K25" s="534"/>
      <c r="L25" s="535"/>
      <c r="M25" s="76"/>
      <c r="N25" s="76"/>
      <c r="O25" s="76"/>
    </row>
    <row r="26" spans="1:15" ht="12.75">
      <c r="A26" s="393">
        <v>3</v>
      </c>
      <c r="B26" s="111"/>
      <c r="C26" s="390"/>
      <c r="D26" s="390"/>
      <c r="E26" s="425"/>
      <c r="F26" s="533"/>
      <c r="G26" s="534"/>
      <c r="H26" s="534"/>
      <c r="I26" s="534"/>
      <c r="J26" s="534"/>
      <c r="K26" s="534"/>
      <c r="L26" s="535"/>
      <c r="M26" s="76"/>
      <c r="N26" s="76"/>
      <c r="O26" s="76"/>
    </row>
    <row r="27" spans="1:15" ht="12.75">
      <c r="A27" s="393">
        <v>4</v>
      </c>
      <c r="B27" s="111"/>
      <c r="C27" s="390"/>
      <c r="D27" s="390"/>
      <c r="E27" s="425"/>
      <c r="F27" s="533"/>
      <c r="G27" s="534"/>
      <c r="H27" s="534"/>
      <c r="I27" s="534"/>
      <c r="J27" s="534"/>
      <c r="K27" s="534"/>
      <c r="L27" s="535"/>
      <c r="M27" s="76"/>
      <c r="N27" s="76"/>
      <c r="O27" s="76"/>
    </row>
    <row r="28" spans="1:15" ht="12.75">
      <c r="A28" s="393">
        <v>5</v>
      </c>
      <c r="B28" s="111"/>
      <c r="C28" s="390"/>
      <c r="D28" s="390"/>
      <c r="E28" s="425"/>
      <c r="F28" s="533"/>
      <c r="G28" s="534"/>
      <c r="H28" s="534"/>
      <c r="I28" s="534"/>
      <c r="J28" s="534"/>
      <c r="K28" s="534"/>
      <c r="L28" s="535"/>
      <c r="M28" s="76"/>
      <c r="N28" s="76"/>
      <c r="O28" s="76"/>
    </row>
    <row r="29" spans="1:15" ht="12.75">
      <c r="A29" s="393">
        <v>6</v>
      </c>
      <c r="B29" s="111"/>
      <c r="C29" s="390"/>
      <c r="D29" s="390"/>
      <c r="E29" s="425"/>
      <c r="F29" s="533"/>
      <c r="G29" s="534"/>
      <c r="H29" s="534"/>
      <c r="I29" s="534"/>
      <c r="J29" s="534"/>
      <c r="K29" s="534"/>
      <c r="L29" s="535"/>
      <c r="M29" s="76"/>
      <c r="N29" s="76"/>
      <c r="O29" s="76"/>
    </row>
    <row r="30" spans="1:15" ht="13.5" thickBot="1">
      <c r="A30" s="394"/>
      <c r="B30" s="111"/>
      <c r="C30" s="390"/>
      <c r="D30" s="390"/>
      <c r="E30" s="425"/>
      <c r="F30" s="536"/>
      <c r="G30" s="537"/>
      <c r="H30" s="537"/>
      <c r="I30" s="537"/>
      <c r="J30" s="537"/>
      <c r="K30" s="537"/>
      <c r="L30" s="538"/>
      <c r="M30" s="76"/>
      <c r="N30" s="76"/>
      <c r="O30" s="76"/>
    </row>
    <row r="31" spans="1:15" ht="13.5" thickBot="1">
      <c r="A31" s="389"/>
      <c r="B31" s="388" t="s">
        <v>1</v>
      </c>
      <c r="C31" s="398"/>
      <c r="D31" s="398"/>
      <c r="E31" s="381">
        <f aca="true" t="shared" si="1" ref="E31:L31">E18+E19+E20+E21+E22+E23</f>
        <v>0</v>
      </c>
      <c r="F31" s="381">
        <f t="shared" si="1"/>
        <v>0</v>
      </c>
      <c r="G31" s="381">
        <f t="shared" si="1"/>
        <v>0</v>
      </c>
      <c r="H31" s="381">
        <f t="shared" si="1"/>
        <v>0</v>
      </c>
      <c r="I31" s="381">
        <f t="shared" si="1"/>
        <v>0</v>
      </c>
      <c r="J31" s="381">
        <f t="shared" si="1"/>
        <v>0</v>
      </c>
      <c r="K31" s="381">
        <f t="shared" si="1"/>
        <v>0</v>
      </c>
      <c r="L31" s="381">
        <f t="shared" si="1"/>
        <v>0</v>
      </c>
      <c r="M31" s="76"/>
      <c r="N31" s="76"/>
      <c r="O31" s="76"/>
    </row>
    <row r="32" spans="1:15" ht="13.5" thickBot="1">
      <c r="A32" s="389"/>
      <c r="B32" s="388" t="s">
        <v>116</v>
      </c>
      <c r="C32" s="398"/>
      <c r="D32" s="398"/>
      <c r="E32" s="398"/>
      <c r="F32" s="420">
        <f>F31*5</f>
        <v>0</v>
      </c>
      <c r="G32" s="420">
        <f>G31*4</f>
        <v>0</v>
      </c>
      <c r="H32" s="420">
        <f>H31*3</f>
        <v>0</v>
      </c>
      <c r="I32" s="420">
        <f>I31*2</f>
        <v>0</v>
      </c>
      <c r="J32" s="420">
        <f>J31*1.5</f>
        <v>0</v>
      </c>
      <c r="K32" s="420">
        <f>K31*1</f>
        <v>0</v>
      </c>
      <c r="L32" s="427">
        <f>L31*0.5</f>
        <v>0</v>
      </c>
      <c r="M32" s="76"/>
      <c r="N32" s="76"/>
      <c r="O32" s="76"/>
    </row>
    <row r="33" spans="2:15" ht="12.75">
      <c r="B33" s="711" t="s">
        <v>2</v>
      </c>
      <c r="C33" s="780"/>
      <c r="D33" s="780"/>
      <c r="E33" s="780"/>
      <c r="F33" s="780" t="e">
        <f>(SUM(F32:L32))/(SUM(F31:L31))</f>
        <v>#DIV/0!</v>
      </c>
      <c r="G33" s="780"/>
      <c r="H33" s="780"/>
      <c r="I33" s="780"/>
      <c r="J33" s="780"/>
      <c r="K33" s="780"/>
      <c r="L33" s="781"/>
      <c r="M33" s="76"/>
      <c r="N33" s="76"/>
      <c r="O33" s="76"/>
    </row>
    <row r="34" spans="2:15" ht="13.5" thickBot="1">
      <c r="B34" s="784"/>
      <c r="C34" s="782"/>
      <c r="D34" s="782"/>
      <c r="E34" s="782"/>
      <c r="F34" s="782"/>
      <c r="G34" s="782"/>
      <c r="H34" s="782"/>
      <c r="I34" s="782"/>
      <c r="J34" s="782"/>
      <c r="K34" s="782"/>
      <c r="L34" s="783"/>
      <c r="M34" s="76"/>
      <c r="N34" s="76"/>
      <c r="O34" s="76"/>
    </row>
    <row r="35" spans="13:15" ht="12.75">
      <c r="M35" s="76"/>
      <c r="N35" s="76"/>
      <c r="O35" s="76"/>
    </row>
    <row r="36" spans="13:15" ht="12.75">
      <c r="M36" s="76"/>
      <c r="N36" s="76"/>
      <c r="O36" s="76"/>
    </row>
    <row r="37" spans="13:15" ht="12.75">
      <c r="M37" s="76"/>
      <c r="N37" s="76"/>
      <c r="O37" s="76"/>
    </row>
    <row r="38" spans="13:15" ht="12.75">
      <c r="M38" s="76"/>
      <c r="N38" s="76"/>
      <c r="O38" s="76"/>
    </row>
    <row r="39" spans="13:15" ht="12.75">
      <c r="M39" s="76"/>
      <c r="N39" s="76"/>
      <c r="O39" s="76"/>
    </row>
    <row r="40" spans="13:15" ht="12.75">
      <c r="M40" s="76"/>
      <c r="N40" s="76"/>
      <c r="O40" s="76"/>
    </row>
    <row r="41" spans="13:15" ht="12.75">
      <c r="M41" s="76"/>
      <c r="N41" s="76"/>
      <c r="O41" s="76"/>
    </row>
    <row r="42" spans="13:15" ht="12.75">
      <c r="M42" s="76"/>
      <c r="N42" s="76"/>
      <c r="O42" s="76"/>
    </row>
    <row r="43" spans="13:15" ht="12.75">
      <c r="M43" s="76"/>
      <c r="N43" s="76"/>
      <c r="O43" s="76"/>
    </row>
    <row r="44" spans="13:15" ht="12.75">
      <c r="M44" s="76"/>
      <c r="N44" s="76"/>
      <c r="O44" s="76"/>
    </row>
    <row r="45" spans="13:15" ht="12.75">
      <c r="M45" s="76"/>
      <c r="N45" s="76"/>
      <c r="O45" s="76"/>
    </row>
    <row r="46" spans="13:15" ht="12.75">
      <c r="M46" s="76"/>
      <c r="N46" s="76"/>
      <c r="O46" s="76"/>
    </row>
    <row r="47" spans="13:15" ht="12.75">
      <c r="M47" s="76"/>
      <c r="N47" s="76"/>
      <c r="O47" s="76"/>
    </row>
    <row r="48" spans="13:15" ht="12.75">
      <c r="M48" s="76"/>
      <c r="N48" s="76"/>
      <c r="O48" s="76"/>
    </row>
    <row r="49" spans="13:15" ht="12.75">
      <c r="M49" s="76"/>
      <c r="N49" s="76"/>
      <c r="O49" s="76"/>
    </row>
    <row r="50" spans="13:15" ht="12.75">
      <c r="M50" s="76"/>
      <c r="N50" s="76"/>
      <c r="O50" s="76"/>
    </row>
    <row r="51" spans="13:15" ht="12.75">
      <c r="M51" s="76"/>
      <c r="N51" s="76"/>
      <c r="O51" s="76"/>
    </row>
    <row r="52" spans="13:15" ht="12.75">
      <c r="M52" s="76"/>
      <c r="N52" s="76"/>
      <c r="O52" s="76"/>
    </row>
    <row r="53" spans="13:15" ht="12.75">
      <c r="M53" s="76"/>
      <c r="N53" s="76"/>
      <c r="O53" s="76"/>
    </row>
    <row r="54" spans="13:15" ht="12.75">
      <c r="M54" s="76"/>
      <c r="N54" s="76"/>
      <c r="O54" s="76"/>
    </row>
    <row r="55" spans="13:15" ht="12.75">
      <c r="M55" s="76"/>
      <c r="N55" s="76"/>
      <c r="O55" s="76"/>
    </row>
    <row r="56" spans="13:15" ht="12.75">
      <c r="M56" s="76"/>
      <c r="N56" s="76"/>
      <c r="O56" s="76"/>
    </row>
    <row r="57" spans="13:15" ht="12.75">
      <c r="M57" s="76"/>
      <c r="N57" s="76"/>
      <c r="O57" s="76"/>
    </row>
    <row r="58" spans="13:15" ht="12.75">
      <c r="M58" s="76"/>
      <c r="N58" s="76"/>
      <c r="O58" s="76"/>
    </row>
    <row r="59" spans="13:15" ht="12.75">
      <c r="M59" s="76"/>
      <c r="N59" s="76"/>
      <c r="O59" s="76"/>
    </row>
    <row r="60" spans="13:15" ht="12.75">
      <c r="M60" s="76"/>
      <c r="N60" s="76"/>
      <c r="O60" s="76"/>
    </row>
    <row r="61" spans="13:15" ht="12.75">
      <c r="M61" s="76"/>
      <c r="N61" s="76"/>
      <c r="O61" s="76"/>
    </row>
    <row r="62" spans="13:15" ht="12.75">
      <c r="M62" s="76"/>
      <c r="N62" s="76"/>
      <c r="O62" s="76"/>
    </row>
    <row r="63" spans="13:15" ht="12.75">
      <c r="M63" s="76"/>
      <c r="N63" s="76"/>
      <c r="O63" s="76"/>
    </row>
    <row r="64" spans="13:15" ht="12.75">
      <c r="M64" s="76"/>
      <c r="N64" s="76"/>
      <c r="O64" s="76"/>
    </row>
    <row r="65" spans="13:15" ht="12.75">
      <c r="M65" s="76"/>
      <c r="N65" s="76"/>
      <c r="O65" s="76"/>
    </row>
    <row r="66" spans="13:15" ht="12.75">
      <c r="M66" s="76"/>
      <c r="N66" s="76"/>
      <c r="O66" s="76"/>
    </row>
    <row r="67" spans="13:15" ht="12.75">
      <c r="M67" s="76"/>
      <c r="N67" s="76"/>
      <c r="O67" s="76"/>
    </row>
    <row r="68" spans="13:15" ht="12.75">
      <c r="M68" s="76"/>
      <c r="N68" s="76"/>
      <c r="O68" s="76"/>
    </row>
    <row r="69" spans="13:15" ht="12.75">
      <c r="M69" s="76"/>
      <c r="N69" s="76"/>
      <c r="O69" s="76"/>
    </row>
    <row r="70" spans="13:15" ht="12.75">
      <c r="M70" s="76"/>
      <c r="N70" s="76"/>
      <c r="O70" s="76"/>
    </row>
    <row r="71" spans="13:15" ht="12.75">
      <c r="M71" s="76"/>
      <c r="N71" s="76"/>
      <c r="O71" s="76"/>
    </row>
    <row r="72" spans="13:15" ht="12.75">
      <c r="M72" s="76"/>
      <c r="N72" s="76"/>
      <c r="O72" s="76"/>
    </row>
    <row r="73" spans="13:15" ht="12.75">
      <c r="M73" s="76"/>
      <c r="N73" s="76"/>
      <c r="O73" s="76"/>
    </row>
    <row r="74" spans="13:15" ht="12.75">
      <c r="M74" s="76"/>
      <c r="N74" s="76"/>
      <c r="O74" s="76"/>
    </row>
    <row r="75" spans="13:15" ht="12.75">
      <c r="M75" s="76"/>
      <c r="N75" s="76"/>
      <c r="O75" s="76"/>
    </row>
    <row r="76" spans="13:15" ht="12.75">
      <c r="M76" s="76"/>
      <c r="N76" s="76"/>
      <c r="O76" s="76"/>
    </row>
    <row r="77" spans="13:15" ht="12.75">
      <c r="M77" s="76"/>
      <c r="N77" s="76"/>
      <c r="O77" s="76"/>
    </row>
    <row r="78" spans="13:15" ht="12.75">
      <c r="M78" s="76"/>
      <c r="N78" s="76"/>
      <c r="O78" s="76"/>
    </row>
    <row r="79" spans="13:15" ht="12.75">
      <c r="M79" s="76"/>
      <c r="N79" s="76"/>
      <c r="O79" s="76"/>
    </row>
    <row r="80" spans="13:15" ht="12.75">
      <c r="M80" s="76"/>
      <c r="N80" s="76"/>
      <c r="O80" s="76"/>
    </row>
    <row r="81" spans="13:15" ht="12.75">
      <c r="M81" s="76"/>
      <c r="N81" s="76"/>
      <c r="O81" s="76"/>
    </row>
    <row r="82" spans="13:15" ht="12.75">
      <c r="M82" s="76"/>
      <c r="N82" s="76"/>
      <c r="O82" s="76"/>
    </row>
    <row r="83" spans="13:15" ht="12.75">
      <c r="M83" s="76"/>
      <c r="N83" s="76"/>
      <c r="O83" s="76"/>
    </row>
  </sheetData>
  <mergeCells count="11">
    <mergeCell ref="F16:L16"/>
    <mergeCell ref="F33:L34"/>
    <mergeCell ref="B33:E34"/>
    <mergeCell ref="C10:M10"/>
    <mergeCell ref="C11:M11"/>
    <mergeCell ref="C12:M12"/>
    <mergeCell ref="C13:M13"/>
    <mergeCell ref="C6:M6"/>
    <mergeCell ref="C7:M7"/>
    <mergeCell ref="C8:M8"/>
    <mergeCell ref="C9:M9"/>
  </mergeCells>
  <printOptions/>
  <pageMargins left="0.75" right="0.75" top="1" bottom="1"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3"/>
  </sheetPr>
  <dimension ref="A1:M62"/>
  <sheetViews>
    <sheetView workbookViewId="0" topLeftCell="A1">
      <selection activeCell="D9" sqref="D9"/>
    </sheetView>
  </sheetViews>
  <sheetFormatPr defaultColWidth="11.421875" defaultRowHeight="12.75"/>
  <cols>
    <col min="7" max="7" width="9.421875" style="0" customWidth="1"/>
    <col min="8" max="13" width="8.7109375" style="0" customWidth="1"/>
  </cols>
  <sheetData>
    <row r="1" s="66" customFormat="1" ht="27" thickBot="1">
      <c r="A1" s="65" t="s">
        <v>202</v>
      </c>
    </row>
    <row r="2" ht="13.5" thickBot="1"/>
    <row r="3" spans="1:4" s="14" customFormat="1" ht="21" thickBot="1">
      <c r="A3" s="69" t="s">
        <v>1</v>
      </c>
      <c r="B3" s="70"/>
      <c r="C3" s="70"/>
      <c r="D3" s="71" t="e">
        <f>(D6+D8+D14+D19+D25+D34)/6</f>
        <v>#DIV/0!</v>
      </c>
    </row>
    <row r="4" spans="1:4" s="14" customFormat="1" ht="20.25">
      <c r="A4" s="67"/>
      <c r="B4" s="16"/>
      <c r="C4" s="16"/>
      <c r="D4" s="68"/>
    </row>
    <row r="6" spans="1:4" ht="18.75" thickBot="1">
      <c r="A6" s="28" t="s">
        <v>2</v>
      </c>
      <c r="B6" s="28"/>
      <c r="C6" s="28"/>
      <c r="D6" s="29" t="e">
        <f>I!F33</f>
        <v>#DIV/0!</v>
      </c>
    </row>
    <row r="7" spans="1:4" ht="12.75">
      <c r="A7" s="1"/>
      <c r="B7" s="1"/>
      <c r="C7" s="1"/>
      <c r="D7" s="3"/>
    </row>
    <row r="8" spans="1:4" ht="18.75" thickBot="1">
      <c r="A8" s="24" t="s">
        <v>30</v>
      </c>
      <c r="B8" s="24"/>
      <c r="C8" s="24"/>
      <c r="D8" s="25" t="e">
        <f>(D9+D10+D11+D12)/4</f>
        <v>#DIV/0!</v>
      </c>
    </row>
    <row r="9" spans="1:4" ht="12.75">
      <c r="A9" s="1"/>
      <c r="B9" s="1" t="s">
        <v>42</v>
      </c>
      <c r="C9" s="1"/>
      <c r="D9" s="18" t="e">
        <f>'II'!E21</f>
        <v>#DIV/0!</v>
      </c>
    </row>
    <row r="10" spans="1:4" ht="12.75">
      <c r="A10" s="1"/>
      <c r="B10" s="1" t="s">
        <v>43</v>
      </c>
      <c r="C10" s="1"/>
      <c r="D10" s="18" t="e">
        <f>III!E21</f>
        <v>#DIV/0!</v>
      </c>
    </row>
    <row r="11" spans="1:4" ht="12.75">
      <c r="A11" s="1"/>
      <c r="B11" s="1" t="s">
        <v>30</v>
      </c>
      <c r="C11" s="1"/>
      <c r="D11" s="18" t="e">
        <f>V!E16</f>
        <v>#DIV/0!</v>
      </c>
    </row>
    <row r="12" spans="1:4" ht="12.75">
      <c r="A12" s="1"/>
      <c r="B12" s="1" t="s">
        <v>44</v>
      </c>
      <c r="C12" s="1"/>
      <c r="D12" s="18" t="e">
        <f>VI!E19</f>
        <v>#DIV/0!</v>
      </c>
    </row>
    <row r="13" spans="1:4" ht="12.75">
      <c r="A13" s="1"/>
      <c r="B13" s="1"/>
      <c r="C13" s="1"/>
      <c r="D13" s="3"/>
    </row>
    <row r="14" spans="1:4" ht="18.75" thickBot="1">
      <c r="A14" s="27" t="s">
        <v>45</v>
      </c>
      <c r="B14" s="27"/>
      <c r="C14" s="27"/>
      <c r="D14" s="109">
        <f>(D15+D16)/2</f>
        <v>-1.0180995475113122</v>
      </c>
    </row>
    <row r="15" spans="1:4" ht="12.75">
      <c r="A15" s="1"/>
      <c r="B15" s="1" t="s">
        <v>46</v>
      </c>
      <c r="C15" s="1"/>
      <c r="D15" s="18">
        <f>VII!E24</f>
        <v>-0.8823529411764706</v>
      </c>
    </row>
    <row r="16" spans="1:4" ht="12.75">
      <c r="A16" s="1"/>
      <c r="B16" s="1" t="s">
        <v>3</v>
      </c>
      <c r="C16" s="1"/>
      <c r="D16" s="18">
        <f>VII!G28</f>
        <v>-1.1538461538461537</v>
      </c>
    </row>
    <row r="17" spans="1:4" ht="12.75">
      <c r="A17" s="1"/>
      <c r="B17" s="1"/>
      <c r="C17" s="1"/>
      <c r="D17" s="3"/>
    </row>
    <row r="18" ht="13.5" thickBot="1">
      <c r="D18" s="26" t="s">
        <v>0</v>
      </c>
    </row>
    <row r="19" spans="1:13" ht="24" thickBot="1">
      <c r="A19" s="72" t="s">
        <v>126</v>
      </c>
      <c r="B19" s="72"/>
      <c r="C19" s="72"/>
      <c r="D19" s="73">
        <f>(D20+D22+D23+D21)/4</f>
        <v>-4.758E-05</v>
      </c>
      <c r="E19" s="269" t="s">
        <v>459</v>
      </c>
      <c r="F19" s="270" t="s">
        <v>460</v>
      </c>
      <c r="G19" s="33" t="s">
        <v>138</v>
      </c>
      <c r="H19" s="34" t="s">
        <v>139</v>
      </c>
      <c r="I19" s="35" t="s">
        <v>140</v>
      </c>
      <c r="J19" s="36" t="s">
        <v>141</v>
      </c>
      <c r="K19" s="37" t="s">
        <v>142</v>
      </c>
      <c r="L19" s="38" t="s">
        <v>143</v>
      </c>
      <c r="M19" s="39" t="s">
        <v>144</v>
      </c>
    </row>
    <row r="20" spans="1:13" ht="13.5" thickBot="1">
      <c r="A20" s="1"/>
      <c r="B20" s="1" t="s">
        <v>203</v>
      </c>
      <c r="C20" s="1"/>
      <c r="D20" s="18">
        <f>VIII!S202</f>
        <v>-4.758E-05</v>
      </c>
      <c r="E20" s="23" t="e">
        <f>(VIII!N202)*36</f>
        <v>#DIV/0!</v>
      </c>
      <c r="F20" s="21" t="e">
        <f>(VIII!P202)*42</f>
        <v>#DIV/0!</v>
      </c>
      <c r="G20" s="40" t="e">
        <f>VIII!T202</f>
        <v>#DIV/0!</v>
      </c>
      <c r="H20" s="41" t="e">
        <f>VIII!U202</f>
        <v>#DIV/0!</v>
      </c>
      <c r="I20" s="42" t="e">
        <f>VIII!V202</f>
        <v>#DIV/0!</v>
      </c>
      <c r="J20" s="43" t="e">
        <f>VIII!W202</f>
        <v>#DIV/0!</v>
      </c>
      <c r="K20" s="44" t="e">
        <f>VIII!X202</f>
        <v>#DIV/0!</v>
      </c>
      <c r="L20" s="45" t="e">
        <f>VIII!Y202</f>
        <v>#DIV/0!</v>
      </c>
      <c r="M20" s="46" t="e">
        <f>VIII!Z202</f>
        <v>#DIV/0!</v>
      </c>
    </row>
    <row r="21" spans="1:13" ht="12.75">
      <c r="A21" s="1"/>
      <c r="B21" s="1" t="s">
        <v>204</v>
      </c>
      <c r="C21" s="1"/>
      <c r="D21" s="18">
        <f>IX!S202</f>
        <v>-4.758E-05</v>
      </c>
      <c r="E21" s="18" t="e">
        <f>(IX!N202)*36</f>
        <v>#DIV/0!</v>
      </c>
      <c r="F21" s="18" t="e">
        <f>(IX!P202)*42</f>
        <v>#DIV/0!</v>
      </c>
      <c r="G21" s="262" t="e">
        <f>IX!T202</f>
        <v>#DIV/0!</v>
      </c>
      <c r="H21" s="263" t="e">
        <f>IX!U202</f>
        <v>#DIV/0!</v>
      </c>
      <c r="I21" s="264" t="e">
        <f>IX!V202</f>
        <v>#DIV/0!</v>
      </c>
      <c r="J21" s="265" t="e">
        <f>IX!W202</f>
        <v>#DIV/0!</v>
      </c>
      <c r="K21" s="266" t="e">
        <f>IX!X202</f>
        <v>#DIV/0!</v>
      </c>
      <c r="L21" s="267" t="e">
        <f>IX!Y202</f>
        <v>#DIV/0!</v>
      </c>
      <c r="M21" s="268" t="e">
        <f>IX!Z202</f>
        <v>#DIV/0!</v>
      </c>
    </row>
    <row r="22" spans="1:13" ht="12.75">
      <c r="A22" s="1"/>
      <c r="B22" s="1" t="s">
        <v>205</v>
      </c>
      <c r="C22" s="1"/>
      <c r="D22" s="18">
        <f>X!S202</f>
        <v>-4.758E-05</v>
      </c>
      <c r="E22" s="18" t="e">
        <f>(X!N202)*36</f>
        <v>#DIV/0!</v>
      </c>
      <c r="F22" s="18" t="e">
        <f>(X!P202)*42</f>
        <v>#DIV/0!</v>
      </c>
      <c r="G22" s="14"/>
      <c r="H22" s="14"/>
      <c r="I22" s="14"/>
      <c r="J22" s="14"/>
      <c r="K22" s="14"/>
      <c r="L22" s="14"/>
      <c r="M22" s="14"/>
    </row>
    <row r="23" spans="1:13" ht="12.75">
      <c r="A23" s="1"/>
      <c r="B23" s="1" t="s">
        <v>206</v>
      </c>
      <c r="C23" s="1"/>
      <c r="D23" s="18">
        <f>XI!S152</f>
        <v>-4.758E-05</v>
      </c>
      <c r="E23" s="18" t="e">
        <f>(XI!N152)*36</f>
        <v>#DIV/0!</v>
      </c>
      <c r="F23" s="18" t="e">
        <f>(XI!P152)*36</f>
        <v>#DIV/0!</v>
      </c>
      <c r="G23" s="14"/>
      <c r="H23" s="14"/>
      <c r="I23" s="14"/>
      <c r="J23" s="14"/>
      <c r="K23" s="14"/>
      <c r="L23" s="14"/>
      <c r="M23" s="14"/>
    </row>
    <row r="24" ht="13.5" thickBot="1"/>
    <row r="25" spans="1:6" ht="18.75" thickBot="1">
      <c r="A25" s="32" t="s">
        <v>159</v>
      </c>
      <c r="B25" s="32"/>
      <c r="C25" s="32"/>
      <c r="D25" s="58">
        <f>(D26+D27+D28+D29+D30+D31)/6</f>
        <v>-0.00012688833333333332</v>
      </c>
      <c r="E25" s="51" t="s">
        <v>173</v>
      </c>
      <c r="F25" s="54" t="s">
        <v>174</v>
      </c>
    </row>
    <row r="26" spans="1:6" ht="12.75">
      <c r="A26" s="1"/>
      <c r="B26" s="1" t="s">
        <v>203</v>
      </c>
      <c r="C26" s="1"/>
      <c r="D26" s="18">
        <f>XII!N162</f>
        <v>-4.758E-05</v>
      </c>
      <c r="E26" s="52" t="e">
        <f>XII!O161</f>
        <v>#DIV/0!</v>
      </c>
      <c r="F26" s="55" t="e">
        <f>XII!Q161</f>
        <v>#DIV/0!</v>
      </c>
    </row>
    <row r="27" spans="1:6" ht="13.5" thickBot="1">
      <c r="A27" s="1"/>
      <c r="B27" s="1" t="s">
        <v>204</v>
      </c>
      <c r="C27" s="1"/>
      <c r="D27" s="18">
        <f>XIII!N162</f>
        <v>-0.00014275</v>
      </c>
      <c r="E27" s="53" t="e">
        <f>XIII!O161</f>
        <v>#DIV/0!</v>
      </c>
      <c r="F27" s="56" t="e">
        <f>XIII!Q161</f>
        <v>#DIV/0!</v>
      </c>
    </row>
    <row r="28" spans="2:4" ht="12.75">
      <c r="B28" s="1" t="s">
        <v>207</v>
      </c>
      <c r="D28" s="18">
        <f>XIV!N164</f>
        <v>-0.00014275</v>
      </c>
    </row>
    <row r="29" spans="2:4" ht="12.75">
      <c r="B29" s="1" t="s">
        <v>208</v>
      </c>
      <c r="D29" s="18">
        <f>XV!N164</f>
        <v>-0.00014275</v>
      </c>
    </row>
    <row r="30" spans="2:4" ht="12.75">
      <c r="B30" s="1" t="s">
        <v>213</v>
      </c>
      <c r="D30" s="18">
        <f>XVI!N164</f>
        <v>-0.00014275</v>
      </c>
    </row>
    <row r="31" spans="2:4" ht="12.75">
      <c r="B31" s="1" t="s">
        <v>214</v>
      </c>
      <c r="D31" s="18">
        <f>XVII!N164</f>
        <v>-0.00014275</v>
      </c>
    </row>
    <row r="33" spans="4:5" ht="12.75">
      <c r="D33" s="3" t="s">
        <v>199</v>
      </c>
      <c r="E33" s="3" t="s">
        <v>200</v>
      </c>
    </row>
    <row r="34" spans="1:5" ht="18.75" thickBot="1">
      <c r="A34" s="60" t="s">
        <v>160</v>
      </c>
      <c r="B34" s="60"/>
      <c r="C34" s="60"/>
      <c r="D34" s="61" t="e">
        <f>(D35+D36)/2</f>
        <v>#DIV/0!</v>
      </c>
      <c r="E34" s="64" t="e">
        <f>(E35+E36)/2</f>
        <v>#DIV/0!</v>
      </c>
    </row>
    <row r="35" spans="2:5" ht="12.75">
      <c r="B35" s="1" t="s">
        <v>198</v>
      </c>
      <c r="D35" s="18" t="e">
        <f>'MORAL Max'!K117</f>
        <v>#DIV/0!</v>
      </c>
      <c r="E35" s="18" t="e">
        <f>'MORAL min'!K141</f>
        <v>#DIV/0!</v>
      </c>
    </row>
    <row r="36" spans="2:5" ht="12.75">
      <c r="B36" s="1" t="s">
        <v>159</v>
      </c>
      <c r="D36" s="18" t="e">
        <f>'MORAL Max'!N117</f>
        <v>#DIV/0!</v>
      </c>
      <c r="E36" s="18">
        <f>'MORAL min'!N141</f>
        <v>5</v>
      </c>
    </row>
    <row r="39" spans="1:8" ht="12.75">
      <c r="A39" s="6"/>
      <c r="B39" s="74"/>
      <c r="C39" s="57"/>
      <c r="D39" s="57"/>
      <c r="E39" s="57"/>
      <c r="F39" s="57"/>
      <c r="G39" s="57"/>
      <c r="H39" s="57"/>
    </row>
    <row r="40" spans="1:8" ht="20.25">
      <c r="A40" s="6"/>
      <c r="B40" s="67"/>
      <c r="C40" s="6"/>
      <c r="D40" s="6"/>
      <c r="E40" s="6"/>
      <c r="F40" s="6"/>
      <c r="G40" s="6"/>
      <c r="H40" s="6"/>
    </row>
    <row r="43" ht="12.75">
      <c r="B43" s="1"/>
    </row>
    <row r="45" ht="12.75">
      <c r="B45" s="1"/>
    </row>
    <row r="46" ht="12.75">
      <c r="B46" s="1"/>
    </row>
    <row r="47" ht="12.75">
      <c r="B47" s="1"/>
    </row>
    <row r="48" ht="12.75">
      <c r="B48" s="1"/>
    </row>
    <row r="49" ht="12.75">
      <c r="B49" s="1"/>
    </row>
    <row r="51" ht="12.75">
      <c r="B51" s="1"/>
    </row>
    <row r="52" ht="12.75">
      <c r="B52" s="1"/>
    </row>
    <row r="53" ht="12.75">
      <c r="B53" s="1"/>
    </row>
    <row r="56" ht="12.75">
      <c r="B56" s="1"/>
    </row>
    <row r="57" ht="12.75">
      <c r="B57" s="1"/>
    </row>
    <row r="58" ht="12.75">
      <c r="B58" s="1"/>
    </row>
    <row r="61" ht="12.75">
      <c r="B61" s="1"/>
    </row>
    <row r="62" ht="12.75">
      <c r="B62" s="1"/>
    </row>
  </sheetData>
  <printOptions/>
  <pageMargins left="0.75" right="0.75" top="1" bottom="1" header="0" footer="0"/>
  <pageSetup horizontalDpi="200" verticalDpi="200" orientation="portrait" paperSize="9" r:id="rId2"/>
  <drawing r:id="rId1"/>
</worksheet>
</file>

<file path=xl/worksheets/sheet19.xml><?xml version="1.0" encoding="utf-8"?>
<worksheet xmlns="http://schemas.openxmlformats.org/spreadsheetml/2006/main" xmlns:r="http://schemas.openxmlformats.org/officeDocument/2006/relationships">
  <dimension ref="A1:Y151"/>
  <sheetViews>
    <sheetView workbookViewId="0" topLeftCell="A25">
      <selection activeCell="L43" sqref="L43"/>
    </sheetView>
  </sheetViews>
  <sheetFormatPr defaultColWidth="11.421875" defaultRowHeight="12.75"/>
  <cols>
    <col min="1" max="1" width="5.421875" style="650" customWidth="1"/>
    <col min="2" max="2" width="11.421875" style="650" customWidth="1"/>
    <col min="3" max="3" width="8.28125" style="650" customWidth="1"/>
    <col min="4" max="4" width="6.57421875" style="650" customWidth="1"/>
    <col min="5" max="5" width="6.8515625" style="650" customWidth="1"/>
    <col min="6" max="6" width="11.421875" style="650" customWidth="1"/>
    <col min="7" max="7" width="7.7109375" style="650" customWidth="1"/>
    <col min="8" max="8" width="7.140625" style="650" customWidth="1"/>
    <col min="9" max="14" width="11.421875" style="650" customWidth="1"/>
    <col min="15" max="15" width="8.28125" style="650" customWidth="1"/>
    <col min="16" max="17" width="8.28125" style="288" customWidth="1"/>
    <col min="18" max="18" width="11.421875" style="288" customWidth="1"/>
    <col min="19" max="19" width="9.00390625" style="288" customWidth="1"/>
    <col min="20" max="20" width="8.28125" style="0" customWidth="1"/>
    <col min="21" max="21" width="11.00390625" style="0" customWidth="1"/>
    <col min="22" max="28" width="4.7109375" style="0" customWidth="1"/>
  </cols>
  <sheetData>
    <row r="1" spans="1:23" s="13" customFormat="1" ht="18.75" thickBot="1">
      <c r="A1" s="674"/>
      <c r="B1" s="675" t="s">
        <v>201</v>
      </c>
      <c r="C1" s="676"/>
      <c r="D1" s="676"/>
      <c r="E1" s="676"/>
      <c r="F1" s="676"/>
      <c r="G1" s="676"/>
      <c r="H1" s="676"/>
      <c r="I1" s="676"/>
      <c r="J1" s="676"/>
      <c r="K1" s="676"/>
      <c r="L1" s="676"/>
      <c r="M1" s="676"/>
      <c r="N1" s="676"/>
      <c r="O1" s="676"/>
      <c r="P1" s="677"/>
      <c r="Q1" s="678"/>
      <c r="R1" s="678"/>
      <c r="S1" s="678"/>
      <c r="T1" s="62"/>
      <c r="U1" s="62"/>
      <c r="V1" s="62"/>
      <c r="W1" s="62"/>
    </row>
    <row r="2" spans="1:20" s="16" customFormat="1" ht="20.25">
      <c r="A2" s="390"/>
      <c r="B2" s="399"/>
      <c r="C2" s="390"/>
      <c r="D2" s="390"/>
      <c r="E2" s="390"/>
      <c r="F2" s="390"/>
      <c r="G2" s="390"/>
      <c r="H2" s="390"/>
      <c r="I2" s="390"/>
      <c r="J2" s="390"/>
      <c r="K2" s="390"/>
      <c r="L2" s="390"/>
      <c r="M2" s="390"/>
      <c r="N2" s="390"/>
      <c r="O2" s="390"/>
      <c r="P2" s="77"/>
      <c r="Q2" s="110"/>
      <c r="R2" s="77"/>
      <c r="S2" s="77"/>
      <c r="T2" s="77"/>
    </row>
    <row r="3" spans="1:23" ht="12.75">
      <c r="A3" s="368"/>
      <c r="B3" s="368"/>
      <c r="C3" s="368"/>
      <c r="D3" s="368"/>
      <c r="E3" s="368"/>
      <c r="F3" s="368"/>
      <c r="G3" s="368"/>
      <c r="H3" s="368"/>
      <c r="I3" s="368"/>
      <c r="J3" s="368"/>
      <c r="K3" s="368"/>
      <c r="L3" s="368"/>
      <c r="M3" s="368"/>
      <c r="N3" s="368"/>
      <c r="O3" s="368"/>
      <c r="P3" s="76"/>
      <c r="Q3" s="77"/>
      <c r="R3" s="111"/>
      <c r="S3" s="111"/>
      <c r="T3" s="77"/>
      <c r="U3" s="16"/>
      <c r="V3" s="16"/>
      <c r="W3" s="16"/>
    </row>
    <row r="4" spans="1:23" ht="12.75">
      <c r="A4" s="368"/>
      <c r="B4" s="129" t="s">
        <v>187</v>
      </c>
      <c r="C4" s="368"/>
      <c r="D4" s="368"/>
      <c r="E4" s="368"/>
      <c r="F4" s="368"/>
      <c r="G4" s="129" t="s">
        <v>188</v>
      </c>
      <c r="H4" s="368"/>
      <c r="I4" s="368"/>
      <c r="J4" s="368"/>
      <c r="K4" s="368"/>
      <c r="L4" s="368"/>
      <c r="M4" s="368"/>
      <c r="N4" s="368"/>
      <c r="O4" s="368"/>
      <c r="P4" s="76"/>
      <c r="Q4" s="77"/>
      <c r="R4" s="114"/>
      <c r="S4" s="116"/>
      <c r="T4" s="77"/>
      <c r="U4" s="16"/>
      <c r="V4" s="16"/>
      <c r="W4" s="16"/>
    </row>
    <row r="5" spans="1:23" ht="15.75">
      <c r="A5" s="368"/>
      <c r="B5" s="368"/>
      <c r="C5" s="368"/>
      <c r="D5" s="368"/>
      <c r="E5" s="368"/>
      <c r="F5" s="400"/>
      <c r="G5" s="400"/>
      <c r="H5" s="368"/>
      <c r="I5" s="401"/>
      <c r="J5" s="401"/>
      <c r="K5" s="401"/>
      <c r="L5" s="401"/>
      <c r="M5" s="368"/>
      <c r="N5" s="368"/>
      <c r="O5" s="368"/>
      <c r="P5" s="76"/>
      <c r="Q5" s="77"/>
      <c r="R5" s="114"/>
      <c r="S5" s="116"/>
      <c r="T5" s="77"/>
      <c r="U5" s="16"/>
      <c r="V5" s="16"/>
      <c r="W5" s="16"/>
    </row>
    <row r="6" spans="1:23" ht="13.5" thickBot="1">
      <c r="A6" s="368"/>
      <c r="B6" s="390"/>
      <c r="C6" s="402" t="s">
        <v>179</v>
      </c>
      <c r="D6" s="790" t="s">
        <v>180</v>
      </c>
      <c r="E6" s="791"/>
      <c r="F6" s="405"/>
      <c r="G6" s="406" t="s">
        <v>192</v>
      </c>
      <c r="H6" s="368"/>
      <c r="I6" s="368"/>
      <c r="J6" s="368"/>
      <c r="K6" s="368"/>
      <c r="L6" s="406" t="s">
        <v>193</v>
      </c>
      <c r="M6" s="407"/>
      <c r="N6" s="111"/>
      <c r="O6" s="390"/>
      <c r="P6" s="77"/>
      <c r="Q6" s="77"/>
      <c r="R6" s="114"/>
      <c r="S6" s="116"/>
      <c r="T6" s="77"/>
      <c r="U6" s="16"/>
      <c r="V6" s="16"/>
      <c r="W6" s="16"/>
    </row>
    <row r="7" spans="1:23" ht="13.5" thickBot="1">
      <c r="A7" s="368"/>
      <c r="B7" s="381" t="s">
        <v>189</v>
      </c>
      <c r="C7" s="371" t="s">
        <v>0</v>
      </c>
      <c r="D7" s="381" t="s">
        <v>0</v>
      </c>
      <c r="E7" s="113"/>
      <c r="F7" s="368"/>
      <c r="G7" s="368"/>
      <c r="H7" s="368"/>
      <c r="I7" s="402" t="s">
        <v>179</v>
      </c>
      <c r="J7" s="403" t="s">
        <v>180</v>
      </c>
      <c r="K7" s="404"/>
      <c r="L7" s="368"/>
      <c r="M7" s="402" t="s">
        <v>179</v>
      </c>
      <c r="N7" s="403" t="s">
        <v>180</v>
      </c>
      <c r="O7" s="404"/>
      <c r="P7" s="77"/>
      <c r="Q7" s="77"/>
      <c r="R7" s="114"/>
      <c r="S7" s="116"/>
      <c r="T7" s="77"/>
      <c r="U7" s="16"/>
      <c r="V7" s="16"/>
      <c r="W7" s="16"/>
    </row>
    <row r="8" spans="1:23" ht="13.5" thickBot="1">
      <c r="A8" s="368"/>
      <c r="B8" s="382" t="s">
        <v>190</v>
      </c>
      <c r="C8" s="383">
        <v>5</v>
      </c>
      <c r="D8" s="408">
        <v>5</v>
      </c>
      <c r="E8" s="390"/>
      <c r="F8" s="368"/>
      <c r="G8" s="720" t="s">
        <v>189</v>
      </c>
      <c r="H8" s="762"/>
      <c r="I8" s="371" t="s">
        <v>0</v>
      </c>
      <c r="J8" s="381" t="s">
        <v>0</v>
      </c>
      <c r="K8" s="390"/>
      <c r="L8" s="381" t="s">
        <v>189</v>
      </c>
      <c r="M8" s="371" t="s">
        <v>0</v>
      </c>
      <c r="N8" s="371" t="s">
        <v>0</v>
      </c>
      <c r="O8" s="113"/>
      <c r="P8" s="76"/>
      <c r="Q8" s="77"/>
      <c r="R8" s="114"/>
      <c r="S8" s="116"/>
      <c r="T8" s="77"/>
      <c r="U8" s="16"/>
      <c r="V8" s="16"/>
      <c r="W8" s="16"/>
    </row>
    <row r="9" spans="1:23" ht="12.75">
      <c r="A9" s="368"/>
      <c r="B9" s="384">
        <v>10</v>
      </c>
      <c r="C9" s="383">
        <v>4.32</v>
      </c>
      <c r="D9" s="385">
        <v>4.95</v>
      </c>
      <c r="E9" s="113"/>
      <c r="F9" s="368"/>
      <c r="G9" s="792" t="s">
        <v>190</v>
      </c>
      <c r="H9" s="713"/>
      <c r="I9" s="383">
        <v>5</v>
      </c>
      <c r="J9" s="408">
        <v>5</v>
      </c>
      <c r="K9" s="113"/>
      <c r="L9" s="384">
        <v>10</v>
      </c>
      <c r="M9" s="383">
        <v>4.9</v>
      </c>
      <c r="N9" s="383">
        <v>5</v>
      </c>
      <c r="O9" s="113"/>
      <c r="P9" s="76"/>
      <c r="Q9" s="77"/>
      <c r="R9" s="114"/>
      <c r="S9" s="116"/>
      <c r="T9" s="77"/>
      <c r="U9" s="16"/>
      <c r="V9" s="16"/>
      <c r="W9" s="16"/>
    </row>
    <row r="10" spans="1:23" ht="12.75">
      <c r="A10" s="368"/>
      <c r="B10" s="384">
        <v>9</v>
      </c>
      <c r="C10" s="383">
        <v>3.5</v>
      </c>
      <c r="D10" s="385">
        <v>4.7</v>
      </c>
      <c r="E10" s="113"/>
      <c r="F10" s="368"/>
      <c r="G10" s="742">
        <v>10</v>
      </c>
      <c r="H10" s="787"/>
      <c r="I10" s="383">
        <v>3.55</v>
      </c>
      <c r="J10" s="385">
        <v>4.4</v>
      </c>
      <c r="K10" s="113"/>
      <c r="L10" s="384">
        <v>9</v>
      </c>
      <c r="M10" s="383">
        <v>4.75</v>
      </c>
      <c r="N10" s="383">
        <v>4.95</v>
      </c>
      <c r="O10" s="113"/>
      <c r="P10" s="76"/>
      <c r="Q10" s="77"/>
      <c r="R10" s="114"/>
      <c r="S10" s="116"/>
      <c r="T10" s="77"/>
      <c r="U10" s="16"/>
      <c r="V10" s="16"/>
      <c r="W10" s="16"/>
    </row>
    <row r="11" spans="1:23" ht="12.75">
      <c r="A11" s="368"/>
      <c r="B11" s="384">
        <v>8</v>
      </c>
      <c r="C11" s="383">
        <v>2.59</v>
      </c>
      <c r="D11" s="385">
        <v>4.2</v>
      </c>
      <c r="E11" s="113"/>
      <c r="F11" s="368"/>
      <c r="G11" s="742">
        <v>9</v>
      </c>
      <c r="H11" s="787"/>
      <c r="I11" s="383">
        <v>2.9</v>
      </c>
      <c r="J11" s="385">
        <v>3.85</v>
      </c>
      <c r="K11" s="113"/>
      <c r="L11" s="384">
        <v>8</v>
      </c>
      <c r="M11" s="383">
        <v>4.45</v>
      </c>
      <c r="N11" s="383">
        <v>4.9</v>
      </c>
      <c r="O11" s="113"/>
      <c r="P11" s="76"/>
      <c r="Q11" s="77"/>
      <c r="R11" s="114"/>
      <c r="S11" s="116"/>
      <c r="T11" s="77"/>
      <c r="U11" s="16"/>
      <c r="V11" s="16"/>
      <c r="W11" s="16"/>
    </row>
    <row r="12" spans="1:23" ht="12.75">
      <c r="A12" s="368"/>
      <c r="B12" s="384">
        <v>7</v>
      </c>
      <c r="C12" s="383">
        <v>1.68</v>
      </c>
      <c r="D12" s="385">
        <v>3.4</v>
      </c>
      <c r="E12" s="113"/>
      <c r="F12" s="368"/>
      <c r="G12" s="742">
        <v>8</v>
      </c>
      <c r="H12" s="787"/>
      <c r="I12" s="383">
        <v>2.1</v>
      </c>
      <c r="J12" s="385">
        <v>3.1</v>
      </c>
      <c r="K12" s="113"/>
      <c r="L12" s="384">
        <v>7</v>
      </c>
      <c r="M12" s="383">
        <v>3.95</v>
      </c>
      <c r="N12" s="383">
        <v>4.75</v>
      </c>
      <c r="O12" s="113"/>
      <c r="P12" s="76"/>
      <c r="Q12" s="77"/>
      <c r="R12" s="114"/>
      <c r="S12" s="116"/>
      <c r="T12" s="77"/>
      <c r="U12" s="16"/>
      <c r="V12" s="16"/>
      <c r="W12" s="16"/>
    </row>
    <row r="13" spans="1:23" ht="12.75">
      <c r="A13" s="368"/>
      <c r="B13" s="384">
        <v>6</v>
      </c>
      <c r="C13" s="383">
        <v>0.86</v>
      </c>
      <c r="D13" s="385">
        <v>2.2</v>
      </c>
      <c r="E13" s="113"/>
      <c r="F13" s="368"/>
      <c r="G13" s="742">
        <v>7</v>
      </c>
      <c r="H13" s="787"/>
      <c r="I13" s="383">
        <v>1.4</v>
      </c>
      <c r="J13" s="385">
        <v>2.25</v>
      </c>
      <c r="K13" s="113"/>
      <c r="L13" s="384">
        <v>6</v>
      </c>
      <c r="M13" s="383">
        <v>3.15</v>
      </c>
      <c r="N13" s="383">
        <v>4.25</v>
      </c>
      <c r="O13" s="113"/>
      <c r="P13" s="76"/>
      <c r="Q13" s="77"/>
      <c r="R13" s="114"/>
      <c r="S13" s="116"/>
      <c r="T13" s="77"/>
      <c r="U13" s="16"/>
      <c r="V13" s="16"/>
      <c r="W13" s="16"/>
    </row>
    <row r="14" spans="1:23" ht="12.75">
      <c r="A14" s="368"/>
      <c r="B14" s="384">
        <v>5</v>
      </c>
      <c r="C14" s="383">
        <v>0.38</v>
      </c>
      <c r="D14" s="385">
        <v>1.18</v>
      </c>
      <c r="E14" s="113"/>
      <c r="F14" s="368"/>
      <c r="G14" s="742">
        <v>6</v>
      </c>
      <c r="H14" s="787"/>
      <c r="I14" s="383">
        <v>0.8</v>
      </c>
      <c r="J14" s="385">
        <v>1.4</v>
      </c>
      <c r="K14" s="113"/>
      <c r="L14" s="384">
        <v>5</v>
      </c>
      <c r="M14" s="383">
        <v>2.25</v>
      </c>
      <c r="N14" s="383">
        <v>3.45</v>
      </c>
      <c r="O14" s="113"/>
      <c r="P14" s="76"/>
      <c r="Q14" s="77"/>
      <c r="R14" s="114"/>
      <c r="S14" s="116"/>
      <c r="T14" s="77"/>
      <c r="U14" s="16"/>
      <c r="V14" s="16"/>
      <c r="W14" s="16"/>
    </row>
    <row r="15" spans="1:23" ht="12.75">
      <c r="A15" s="368"/>
      <c r="B15" s="384">
        <v>4</v>
      </c>
      <c r="C15" s="383">
        <v>0.16</v>
      </c>
      <c r="D15" s="385">
        <v>0.52</v>
      </c>
      <c r="E15" s="113"/>
      <c r="F15" s="368"/>
      <c r="G15" s="742">
        <v>5</v>
      </c>
      <c r="H15" s="787"/>
      <c r="I15" s="383">
        <v>0.45</v>
      </c>
      <c r="J15" s="385">
        <v>0.8</v>
      </c>
      <c r="K15" s="113"/>
      <c r="L15" s="384">
        <v>4</v>
      </c>
      <c r="M15" s="383">
        <v>1.45</v>
      </c>
      <c r="N15" s="383">
        <v>2.4</v>
      </c>
      <c r="O15" s="113"/>
      <c r="P15" s="76"/>
      <c r="Q15" s="77"/>
      <c r="R15" s="114"/>
      <c r="S15" s="116"/>
      <c r="T15" s="77"/>
      <c r="U15" s="16"/>
      <c r="V15" s="16"/>
      <c r="W15" s="16"/>
    </row>
    <row r="16" spans="1:23" ht="12.75">
      <c r="A16" s="368"/>
      <c r="B16" s="384">
        <v>3</v>
      </c>
      <c r="C16" s="383">
        <v>0.04</v>
      </c>
      <c r="D16" s="385">
        <v>0.14</v>
      </c>
      <c r="E16" s="113"/>
      <c r="F16" s="368"/>
      <c r="G16" s="742">
        <v>4</v>
      </c>
      <c r="H16" s="787"/>
      <c r="I16" s="383">
        <v>0.2</v>
      </c>
      <c r="J16" s="385">
        <v>0.45</v>
      </c>
      <c r="K16" s="113"/>
      <c r="L16" s="384">
        <v>3</v>
      </c>
      <c r="M16" s="383">
        <v>0.75</v>
      </c>
      <c r="N16" s="383">
        <v>1.4</v>
      </c>
      <c r="O16" s="113"/>
      <c r="P16" s="76"/>
      <c r="Q16" s="77"/>
      <c r="R16" s="114"/>
      <c r="S16" s="116"/>
      <c r="T16" s="77"/>
      <c r="U16" s="16"/>
      <c r="V16" s="16"/>
      <c r="W16" s="16"/>
    </row>
    <row r="17" spans="1:23" ht="12.75">
      <c r="A17" s="368"/>
      <c r="B17" s="384">
        <v>2</v>
      </c>
      <c r="C17" s="383">
        <v>0.01</v>
      </c>
      <c r="D17" s="385">
        <v>0.05</v>
      </c>
      <c r="E17" s="113"/>
      <c r="F17" s="368"/>
      <c r="G17" s="742">
        <v>3</v>
      </c>
      <c r="H17" s="787"/>
      <c r="I17" s="383">
        <v>0.1</v>
      </c>
      <c r="J17" s="385">
        <v>0.15</v>
      </c>
      <c r="K17" s="113"/>
      <c r="L17" s="384">
        <v>2</v>
      </c>
      <c r="M17" s="383">
        <v>0.3</v>
      </c>
      <c r="N17" s="383">
        <v>0.5</v>
      </c>
      <c r="O17" s="113"/>
      <c r="P17" s="76"/>
      <c r="Q17" s="77"/>
      <c r="R17" s="114"/>
      <c r="S17" s="116"/>
      <c r="T17" s="77"/>
      <c r="U17" s="16"/>
      <c r="V17" s="16"/>
      <c r="W17" s="16"/>
    </row>
    <row r="18" spans="1:20" ht="13.5" thickBot="1">
      <c r="A18" s="368"/>
      <c r="B18" s="350">
        <v>1</v>
      </c>
      <c r="C18" s="386">
        <v>0</v>
      </c>
      <c r="D18" s="387">
        <v>0</v>
      </c>
      <c r="E18" s="113"/>
      <c r="F18" s="368"/>
      <c r="G18" s="742">
        <v>2</v>
      </c>
      <c r="H18" s="787"/>
      <c r="I18" s="383">
        <v>0</v>
      </c>
      <c r="J18" s="385">
        <v>0</v>
      </c>
      <c r="K18" s="113"/>
      <c r="L18" s="350">
        <v>1</v>
      </c>
      <c r="M18" s="386">
        <v>0</v>
      </c>
      <c r="N18" s="386">
        <v>0</v>
      </c>
      <c r="O18" s="113"/>
      <c r="P18" s="76"/>
      <c r="Q18" s="76"/>
      <c r="R18" s="114"/>
      <c r="S18" s="116"/>
      <c r="T18" s="77"/>
    </row>
    <row r="19" spans="1:20" ht="13.5" thickBot="1">
      <c r="A19" s="368"/>
      <c r="B19" s="390"/>
      <c r="C19" s="390"/>
      <c r="D19" s="390"/>
      <c r="E19" s="390"/>
      <c r="F19" s="368"/>
      <c r="G19" s="733">
        <v>1</v>
      </c>
      <c r="H19" s="692"/>
      <c r="I19" s="386">
        <v>0</v>
      </c>
      <c r="J19" s="387">
        <v>0</v>
      </c>
      <c r="K19" s="113"/>
      <c r="L19" s="113"/>
      <c r="M19" s="410"/>
      <c r="N19" s="390"/>
      <c r="O19" s="390"/>
      <c r="P19" s="77"/>
      <c r="Q19" s="76"/>
      <c r="R19" s="114"/>
      <c r="S19" s="116"/>
      <c r="T19" s="77"/>
    </row>
    <row r="20" spans="1:20" ht="12.75">
      <c r="A20" s="368"/>
      <c r="B20" s="390"/>
      <c r="C20" s="390"/>
      <c r="D20" s="390"/>
      <c r="E20" s="390"/>
      <c r="F20" s="390"/>
      <c r="G20" s="415"/>
      <c r="H20" s="113"/>
      <c r="I20" s="113"/>
      <c r="J20" s="401"/>
      <c r="K20" s="401"/>
      <c r="L20" s="390"/>
      <c r="M20" s="390"/>
      <c r="N20" s="113"/>
      <c r="O20" s="115"/>
      <c r="P20" s="77"/>
      <c r="Q20" s="76"/>
      <c r="R20" s="114"/>
      <c r="S20" s="116"/>
      <c r="T20" s="77"/>
    </row>
    <row r="21" spans="1:20" ht="15">
      <c r="A21" s="368"/>
      <c r="B21" s="681" t="s">
        <v>646</v>
      </c>
      <c r="C21" s="649"/>
      <c r="D21" s="649"/>
      <c r="E21" s="649"/>
      <c r="F21" s="649"/>
      <c r="G21" s="649"/>
      <c r="H21" s="649"/>
      <c r="I21" s="649"/>
      <c r="J21" s="649"/>
      <c r="K21" s="649"/>
      <c r="L21" s="649"/>
      <c r="M21" s="649"/>
      <c r="N21" s="680"/>
      <c r="O21" s="113"/>
      <c r="P21" s="77"/>
      <c r="Q21" s="76"/>
      <c r="R21" s="114"/>
      <c r="S21" s="116"/>
      <c r="T21" s="77"/>
    </row>
    <row r="22" spans="1:20" ht="13.5" thickBot="1">
      <c r="A22" s="368"/>
      <c r="B22" s="368"/>
      <c r="C22" s="368"/>
      <c r="D22" s="368"/>
      <c r="E22" s="368"/>
      <c r="F22" s="368"/>
      <c r="G22" s="368"/>
      <c r="H22" s="368"/>
      <c r="I22" s="368"/>
      <c r="J22" s="368"/>
      <c r="K22" s="368"/>
      <c r="L22" s="368"/>
      <c r="M22" s="368"/>
      <c r="N22" s="368"/>
      <c r="O22" s="113"/>
      <c r="P22" s="77"/>
      <c r="Q22" s="76"/>
      <c r="R22" s="114"/>
      <c r="S22" s="116"/>
      <c r="T22" s="77"/>
    </row>
    <row r="23" spans="1:20" ht="16.5" thickBot="1">
      <c r="A23" s="391"/>
      <c r="B23" s="416"/>
      <c r="C23" s="417"/>
      <c r="D23" s="418"/>
      <c r="E23" s="418"/>
      <c r="F23" s="418"/>
      <c r="G23" s="418"/>
      <c r="H23" s="419"/>
      <c r="I23" s="720" t="s">
        <v>195</v>
      </c>
      <c r="J23" s="721"/>
      <c r="K23" s="762"/>
      <c r="L23" s="720" t="s">
        <v>197</v>
      </c>
      <c r="M23" s="721"/>
      <c r="N23" s="762"/>
      <c r="O23" s="113"/>
      <c r="P23" s="77"/>
      <c r="Q23" s="76"/>
      <c r="R23" s="114"/>
      <c r="S23" s="116"/>
      <c r="T23" s="77"/>
    </row>
    <row r="24" spans="1:20" ht="13.5" thickBot="1">
      <c r="A24" s="389"/>
      <c r="B24" s="398"/>
      <c r="C24" s="398"/>
      <c r="D24" s="398"/>
      <c r="E24" s="398"/>
      <c r="F24" s="398"/>
      <c r="G24" s="398"/>
      <c r="H24" s="398"/>
      <c r="I24" s="682" t="s">
        <v>194</v>
      </c>
      <c r="J24" s="351" t="s">
        <v>196</v>
      </c>
      <c r="K24" s="371" t="s">
        <v>121</v>
      </c>
      <c r="L24" s="420" t="s">
        <v>194</v>
      </c>
      <c r="M24" s="351" t="s">
        <v>196</v>
      </c>
      <c r="N24" s="371" t="s">
        <v>121</v>
      </c>
      <c r="O24" s="113"/>
      <c r="P24" s="77"/>
      <c r="Q24" s="76"/>
      <c r="R24" s="114"/>
      <c r="S24" s="116"/>
      <c r="T24" s="77"/>
    </row>
    <row r="25" spans="1:20" ht="13.5" thickBot="1">
      <c r="A25" s="645"/>
      <c r="B25" s="646" t="s">
        <v>12</v>
      </c>
      <c r="C25" s="647"/>
      <c r="D25" s="647"/>
      <c r="E25" s="647"/>
      <c r="F25" s="647"/>
      <c r="G25" s="647"/>
      <c r="H25" s="423"/>
      <c r="I25" s="350">
        <f>SUM(I26:I35)</f>
        <v>0</v>
      </c>
      <c r="J25" s="350"/>
      <c r="K25" s="350">
        <f>SUM(K26:K35)</f>
        <v>0</v>
      </c>
      <c r="L25" s="350">
        <f>SUM(L26:L35)</f>
        <v>0</v>
      </c>
      <c r="M25" s="381"/>
      <c r="N25" s="381">
        <f>SUM(N26:N35)</f>
        <v>0</v>
      </c>
      <c r="O25" s="113"/>
      <c r="P25" s="77"/>
      <c r="Q25" s="76"/>
      <c r="R25" s="114"/>
      <c r="S25" s="116"/>
      <c r="T25" s="126"/>
    </row>
    <row r="26" spans="1:20" ht="15.75">
      <c r="A26" s="652">
        <v>1</v>
      </c>
      <c r="B26" s="653" t="s">
        <v>418</v>
      </c>
      <c r="C26" s="654"/>
      <c r="D26" s="654"/>
      <c r="E26" s="655"/>
      <c r="F26" s="655"/>
      <c r="G26" s="655"/>
      <c r="H26" s="368"/>
      <c r="I26" s="425"/>
      <c r="J26" s="425"/>
      <c r="K26" s="425"/>
      <c r="L26" s="425"/>
      <c r="M26" s="425"/>
      <c r="N26" s="408"/>
      <c r="O26" s="113"/>
      <c r="P26" s="77"/>
      <c r="Q26" s="76"/>
      <c r="R26" s="114"/>
      <c r="S26" s="116"/>
      <c r="T26" s="77"/>
    </row>
    <row r="27" spans="1:20" ht="15.75">
      <c r="A27" s="393"/>
      <c r="B27" s="651" t="s">
        <v>249</v>
      </c>
      <c r="C27" s="649"/>
      <c r="D27" s="649"/>
      <c r="H27" s="368"/>
      <c r="I27" s="659">
        <f>'CUARTEL GENERAL'!E22+'CUARTEL GENERAL'!E23</f>
        <v>0</v>
      </c>
      <c r="J27" s="425">
        <f>C8</f>
        <v>5</v>
      </c>
      <c r="K27" s="425">
        <f aca="true" t="shared" si="0" ref="K27:K32">J27*(I27)</f>
        <v>0</v>
      </c>
      <c r="L27" s="425">
        <f aca="true" t="shared" si="1" ref="L27:L32">I27</f>
        <v>0</v>
      </c>
      <c r="M27" s="425">
        <f>I9</f>
        <v>5</v>
      </c>
      <c r="N27" s="408">
        <f aca="true" t="shared" si="2" ref="N27:N32">M27*(L27)</f>
        <v>0</v>
      </c>
      <c r="O27" s="113"/>
      <c r="P27" s="77"/>
      <c r="Q27" s="76"/>
      <c r="R27" s="114"/>
      <c r="S27" s="116"/>
      <c r="T27" s="77"/>
    </row>
    <row r="28" spans="1:20" ht="16.5" thickBot="1">
      <c r="A28" s="393"/>
      <c r="B28" s="651" t="s">
        <v>591</v>
      </c>
      <c r="C28" s="649"/>
      <c r="D28" s="649"/>
      <c r="H28" s="368"/>
      <c r="I28" s="659">
        <f>('CUARTEL GENERAL'!H123)-I29</f>
        <v>0</v>
      </c>
      <c r="J28" s="425">
        <f>C9</f>
        <v>4.32</v>
      </c>
      <c r="K28" s="425">
        <f t="shared" si="0"/>
        <v>0</v>
      </c>
      <c r="L28" s="425">
        <f t="shared" si="1"/>
        <v>0</v>
      </c>
      <c r="M28" s="425">
        <f>I10</f>
        <v>3.55</v>
      </c>
      <c r="N28" s="408">
        <f t="shared" si="2"/>
        <v>0</v>
      </c>
      <c r="O28" s="113"/>
      <c r="P28" s="77"/>
      <c r="Q28" s="76"/>
      <c r="R28" s="114"/>
      <c r="S28" s="116"/>
      <c r="T28" s="77"/>
    </row>
    <row r="29" spans="1:20" ht="16.5" thickBot="1">
      <c r="A29" s="393"/>
      <c r="B29" s="651" t="s">
        <v>590</v>
      </c>
      <c r="C29" s="649"/>
      <c r="D29" s="649"/>
      <c r="H29" s="368"/>
      <c r="I29" s="640"/>
      <c r="J29" s="425">
        <f>C8</f>
        <v>5</v>
      </c>
      <c r="K29" s="425">
        <f t="shared" si="0"/>
        <v>0</v>
      </c>
      <c r="L29" s="425">
        <f t="shared" si="1"/>
        <v>0</v>
      </c>
      <c r="M29" s="425">
        <f>C8</f>
        <v>5</v>
      </c>
      <c r="N29" s="408">
        <f t="shared" si="2"/>
        <v>0</v>
      </c>
      <c r="O29" s="113"/>
      <c r="P29" s="77"/>
      <c r="Q29" s="76"/>
      <c r="R29" s="114"/>
      <c r="S29" s="116"/>
      <c r="T29" s="77"/>
    </row>
    <row r="30" spans="1:20" ht="15.75">
      <c r="A30" s="393"/>
      <c r="B30" s="651" t="s">
        <v>272</v>
      </c>
      <c r="C30" s="649"/>
      <c r="D30" s="649"/>
      <c r="H30" s="368"/>
      <c r="I30" s="659">
        <f>'CUARTEL GENERAL'!H124</f>
        <v>0</v>
      </c>
      <c r="J30" s="425">
        <f>C8</f>
        <v>5</v>
      </c>
      <c r="K30" s="425">
        <f t="shared" si="0"/>
        <v>0</v>
      </c>
      <c r="L30" s="425">
        <f t="shared" si="1"/>
        <v>0</v>
      </c>
      <c r="M30" s="425">
        <f>I9</f>
        <v>5</v>
      </c>
      <c r="N30" s="408">
        <f t="shared" si="2"/>
        <v>0</v>
      </c>
      <c r="O30" s="113"/>
      <c r="P30" s="77"/>
      <c r="Q30" s="76"/>
      <c r="R30" s="114"/>
      <c r="S30" s="116"/>
      <c r="T30" s="77"/>
    </row>
    <row r="31" spans="1:20" ht="16.5" thickBot="1">
      <c r="A31" s="393"/>
      <c r="B31" s="651" t="s">
        <v>593</v>
      </c>
      <c r="C31" s="649"/>
      <c r="D31" s="649"/>
      <c r="H31" s="368"/>
      <c r="I31" s="659">
        <f>('CUARTEL GENERAL'!H125)-I32</f>
        <v>0</v>
      </c>
      <c r="J31" s="425">
        <f>C10</f>
        <v>3.5</v>
      </c>
      <c r="K31" s="425">
        <f t="shared" si="0"/>
        <v>0</v>
      </c>
      <c r="L31" s="425">
        <f t="shared" si="1"/>
        <v>0</v>
      </c>
      <c r="M31" s="425">
        <f>I11</f>
        <v>2.9</v>
      </c>
      <c r="N31" s="408">
        <f t="shared" si="2"/>
        <v>0</v>
      </c>
      <c r="O31" s="113"/>
      <c r="P31" s="77"/>
      <c r="Q31" s="76"/>
      <c r="R31" s="114"/>
      <c r="S31" s="116"/>
      <c r="T31" s="77"/>
    </row>
    <row r="32" spans="1:20" ht="16.5" thickBot="1">
      <c r="A32" s="393"/>
      <c r="B32" s="651" t="s">
        <v>594</v>
      </c>
      <c r="C32" s="649"/>
      <c r="D32" s="649"/>
      <c r="H32" s="368"/>
      <c r="I32" s="640"/>
      <c r="J32" s="425">
        <f>C8</f>
        <v>5</v>
      </c>
      <c r="K32" s="425">
        <f t="shared" si="0"/>
        <v>0</v>
      </c>
      <c r="L32" s="425">
        <f t="shared" si="1"/>
        <v>0</v>
      </c>
      <c r="M32" s="425">
        <f>I9</f>
        <v>5</v>
      </c>
      <c r="N32" s="408">
        <f t="shared" si="2"/>
        <v>0</v>
      </c>
      <c r="O32" s="113"/>
      <c r="P32" s="77"/>
      <c r="Q32" s="76"/>
      <c r="R32" s="114"/>
      <c r="S32" s="116"/>
      <c r="T32" s="77"/>
    </row>
    <row r="33" spans="1:20" ht="6.75" customHeight="1">
      <c r="A33" s="393"/>
      <c r="B33" s="426"/>
      <c r="C33" s="390"/>
      <c r="D33" s="390"/>
      <c r="E33" s="368"/>
      <c r="F33" s="368"/>
      <c r="G33" s="368"/>
      <c r="H33" s="368"/>
      <c r="I33" s="425"/>
      <c r="J33" s="425"/>
      <c r="K33" s="425"/>
      <c r="L33" s="425"/>
      <c r="M33" s="425"/>
      <c r="N33" s="408"/>
      <c r="O33" s="113"/>
      <c r="P33" s="77"/>
      <c r="Q33" s="76"/>
      <c r="R33" s="114"/>
      <c r="S33" s="116"/>
      <c r="T33" s="77"/>
    </row>
    <row r="34" spans="1:20" ht="15.75">
      <c r="A34" s="652">
        <v>2</v>
      </c>
      <c r="B34" s="653" t="s">
        <v>420</v>
      </c>
      <c r="C34" s="654"/>
      <c r="D34" s="654"/>
      <c r="E34" s="655"/>
      <c r="F34" s="655"/>
      <c r="G34" s="655"/>
      <c r="H34" s="368"/>
      <c r="I34" s="659">
        <f>'CUARTEL GENERAL'!E97</f>
        <v>0</v>
      </c>
      <c r="J34" s="425">
        <f>C8</f>
        <v>5</v>
      </c>
      <c r="K34" s="425">
        <f>J34*(I34)</f>
        <v>0</v>
      </c>
      <c r="L34" s="425">
        <f>I34</f>
        <v>0</v>
      </c>
      <c r="M34" s="425">
        <f>I9</f>
        <v>5</v>
      </c>
      <c r="N34" s="408">
        <f>M34*(L34)</f>
        <v>0</v>
      </c>
      <c r="O34" s="113"/>
      <c r="P34" s="77"/>
      <c r="Q34" s="76"/>
      <c r="R34" s="114"/>
      <c r="S34" s="116"/>
      <c r="T34" s="77"/>
    </row>
    <row r="35" spans="1:20" ht="9.75" customHeight="1" thickBot="1">
      <c r="A35" s="111"/>
      <c r="B35" s="424"/>
      <c r="C35" s="390"/>
      <c r="D35" s="390"/>
      <c r="E35" s="368"/>
      <c r="F35" s="368"/>
      <c r="G35" s="368"/>
      <c r="H35" s="368"/>
      <c r="I35" s="425"/>
      <c r="J35" s="425"/>
      <c r="K35" s="425"/>
      <c r="L35" s="425"/>
      <c r="M35" s="425"/>
      <c r="N35" s="408"/>
      <c r="O35" s="113"/>
      <c r="P35" s="77"/>
      <c r="Q35" s="76"/>
      <c r="R35" s="114"/>
      <c r="S35" s="116"/>
      <c r="T35" s="77"/>
    </row>
    <row r="36" spans="1:20" ht="13.5" thickBot="1">
      <c r="A36" s="656"/>
      <c r="B36" s="657" t="s">
        <v>13</v>
      </c>
      <c r="C36" s="658"/>
      <c r="D36" s="658"/>
      <c r="E36" s="658"/>
      <c r="F36" s="658"/>
      <c r="G36" s="658"/>
      <c r="H36" s="428"/>
      <c r="I36" s="381">
        <f>SUM(I38:I49)</f>
        <v>0</v>
      </c>
      <c r="J36" s="381"/>
      <c r="K36" s="381">
        <f>SUM(K38:K49)</f>
        <v>0</v>
      </c>
      <c r="L36" s="381">
        <f>SUM(L38:L49)</f>
        <v>0</v>
      </c>
      <c r="M36" s="381"/>
      <c r="N36" s="381">
        <f>SUM(N38:N49)</f>
        <v>0</v>
      </c>
      <c r="O36" s="788"/>
      <c r="P36" s="789"/>
      <c r="Q36" s="76"/>
      <c r="R36" s="114"/>
      <c r="S36" s="116"/>
      <c r="T36" s="77"/>
    </row>
    <row r="37" spans="1:20" ht="5.25" customHeight="1">
      <c r="A37" s="394"/>
      <c r="B37" s="111"/>
      <c r="C37" s="390"/>
      <c r="D37" s="390"/>
      <c r="E37" s="390"/>
      <c r="F37" s="390"/>
      <c r="G37" s="390"/>
      <c r="H37" s="390"/>
      <c r="I37" s="352"/>
      <c r="J37" s="352"/>
      <c r="K37" s="352"/>
      <c r="L37" s="352"/>
      <c r="M37" s="352"/>
      <c r="N37" s="384"/>
      <c r="O37" s="429"/>
      <c r="P37" s="79"/>
      <c r="Q37" s="76"/>
      <c r="R37" s="114"/>
      <c r="S37" s="116"/>
      <c r="T37" s="77"/>
    </row>
    <row r="38" spans="1:20" ht="15.75">
      <c r="A38" s="652">
        <v>1</v>
      </c>
      <c r="B38" s="653" t="s">
        <v>425</v>
      </c>
      <c r="C38" s="654"/>
      <c r="D38" s="654"/>
      <c r="E38" s="655"/>
      <c r="F38" s="655"/>
      <c r="G38" s="655"/>
      <c r="H38" s="368"/>
      <c r="I38" s="425"/>
      <c r="J38" s="425"/>
      <c r="K38" s="425"/>
      <c r="L38" s="425"/>
      <c r="M38" s="425"/>
      <c r="N38" s="408"/>
      <c r="O38" s="429"/>
      <c r="P38" s="117"/>
      <c r="Q38" s="76"/>
      <c r="R38" s="114"/>
      <c r="S38" s="116"/>
      <c r="T38" s="77"/>
    </row>
    <row r="39" spans="1:20" ht="12.75">
      <c r="A39" s="393"/>
      <c r="B39" s="660" t="s">
        <v>598</v>
      </c>
      <c r="C39" s="649"/>
      <c r="D39" s="649"/>
      <c r="H39" s="368"/>
      <c r="I39" s="425"/>
      <c r="J39" s="425"/>
      <c r="K39" s="425"/>
      <c r="L39" s="425"/>
      <c r="M39" s="425"/>
      <c r="N39" s="408"/>
      <c r="O39" s="429"/>
      <c r="P39" s="117"/>
      <c r="Q39" s="76"/>
      <c r="R39" s="114"/>
      <c r="S39" s="116"/>
      <c r="T39" s="77"/>
    </row>
    <row r="40" spans="1:20" ht="13.5" thickBot="1">
      <c r="A40" s="393"/>
      <c r="B40" s="649"/>
      <c r="C40" s="649" t="s">
        <v>595</v>
      </c>
      <c r="D40" s="649"/>
      <c r="H40" s="368"/>
      <c r="I40" s="659">
        <f>(LINEA!E5)-'MORAL Max'!I41-'MORAL Max'!I42-'MORAL Max'!I44-'MORAL Max'!I45-'MORAL Max'!I46</f>
        <v>0</v>
      </c>
      <c r="J40" s="425">
        <f>C10</f>
        <v>3.5</v>
      </c>
      <c r="K40" s="425">
        <f>J40*(I40)</f>
        <v>0</v>
      </c>
      <c r="L40" s="425">
        <f>L29</f>
        <v>0</v>
      </c>
      <c r="M40" s="425">
        <f>I11</f>
        <v>2.9</v>
      </c>
      <c r="N40" s="408">
        <f aca="true" t="shared" si="3" ref="N40:N46">M40*(L40)</f>
        <v>0</v>
      </c>
      <c r="O40" s="407"/>
      <c r="P40" s="118"/>
      <c r="Q40" s="76"/>
      <c r="R40" s="114"/>
      <c r="S40" s="116"/>
      <c r="T40" s="77"/>
    </row>
    <row r="41" spans="1:20" ht="13.5" thickBot="1">
      <c r="A41" s="393"/>
      <c r="B41" s="649"/>
      <c r="C41" s="649" t="s">
        <v>602</v>
      </c>
      <c r="D41" s="649"/>
      <c r="H41" s="368"/>
      <c r="I41" s="640"/>
      <c r="J41" s="425">
        <f>J30</f>
        <v>5</v>
      </c>
      <c r="K41" s="425">
        <f>J41*(I41)</f>
        <v>0</v>
      </c>
      <c r="L41" s="425">
        <f>L30</f>
        <v>0</v>
      </c>
      <c r="M41" s="425">
        <f>M30</f>
        <v>5</v>
      </c>
      <c r="N41" s="408">
        <f t="shared" si="3"/>
        <v>0</v>
      </c>
      <c r="O41" s="430"/>
      <c r="P41" s="120"/>
      <c r="Q41" s="76"/>
      <c r="R41" s="114"/>
      <c r="S41" s="116"/>
      <c r="T41" s="77"/>
    </row>
    <row r="42" spans="1:20" ht="13.5" thickBot="1">
      <c r="A42" s="393"/>
      <c r="B42" s="649"/>
      <c r="C42" s="649" t="s">
        <v>599</v>
      </c>
      <c r="D42" s="649"/>
      <c r="H42" s="368"/>
      <c r="I42" s="640"/>
      <c r="J42" s="425">
        <f>C10</f>
        <v>3.5</v>
      </c>
      <c r="K42" s="425">
        <f>J42*(I42)</f>
        <v>0</v>
      </c>
      <c r="L42" s="425">
        <f>I42</f>
        <v>0</v>
      </c>
      <c r="M42" s="425">
        <f>I11</f>
        <v>2.9</v>
      </c>
      <c r="N42" s="408">
        <f t="shared" si="3"/>
        <v>0</v>
      </c>
      <c r="O42" s="430"/>
      <c r="P42" s="120"/>
      <c r="Q42" s="76"/>
      <c r="R42" s="114"/>
      <c r="S42" s="116"/>
      <c r="T42" s="77"/>
    </row>
    <row r="43" spans="1:20" ht="13.5" thickBot="1">
      <c r="A43" s="393"/>
      <c r="B43" s="660" t="s">
        <v>597</v>
      </c>
      <c r="C43" s="649"/>
      <c r="D43" s="649"/>
      <c r="H43" s="368"/>
      <c r="I43" s="425"/>
      <c r="J43" s="425"/>
      <c r="K43" s="425"/>
      <c r="L43" s="425"/>
      <c r="M43" s="425"/>
      <c r="N43" s="408">
        <f t="shared" si="3"/>
        <v>0</v>
      </c>
      <c r="O43" s="430"/>
      <c r="P43" s="120"/>
      <c r="Q43" s="76"/>
      <c r="R43" s="114"/>
      <c r="S43" s="116"/>
      <c r="T43" s="77"/>
    </row>
    <row r="44" spans="1:20" ht="12.75">
      <c r="A44" s="393"/>
      <c r="B44" s="649"/>
      <c r="C44" s="649" t="s">
        <v>595</v>
      </c>
      <c r="D44" s="649"/>
      <c r="H44" s="368"/>
      <c r="I44" s="644"/>
      <c r="J44" s="401">
        <f>C9</f>
        <v>4.32</v>
      </c>
      <c r="K44" s="425">
        <f>J44*(I44)</f>
        <v>0</v>
      </c>
      <c r="L44" s="425">
        <f>I44</f>
        <v>0</v>
      </c>
      <c r="M44" s="425">
        <f>I10</f>
        <v>3.55</v>
      </c>
      <c r="N44" s="408">
        <f t="shared" si="3"/>
        <v>0</v>
      </c>
      <c r="O44" s="430"/>
      <c r="P44" s="120"/>
      <c r="Q44" s="76"/>
      <c r="R44" s="114"/>
      <c r="S44" s="116"/>
      <c r="T44" s="77"/>
    </row>
    <row r="45" spans="1:20" ht="12.75">
      <c r="A45" s="393"/>
      <c r="B45" s="649"/>
      <c r="C45" s="649" t="s">
        <v>602</v>
      </c>
      <c r="D45" s="649"/>
      <c r="H45" s="368"/>
      <c r="I45" s="642"/>
      <c r="J45" s="401">
        <f>C8</f>
        <v>5</v>
      </c>
      <c r="K45" s="425">
        <f>J45*(I45)</f>
        <v>0</v>
      </c>
      <c r="L45" s="425">
        <f>I45</f>
        <v>0</v>
      </c>
      <c r="M45" s="425">
        <f>I9</f>
        <v>5</v>
      </c>
      <c r="N45" s="408">
        <f t="shared" si="3"/>
        <v>0</v>
      </c>
      <c r="O45" s="430"/>
      <c r="P45" s="120"/>
      <c r="Q45" s="76"/>
      <c r="R45" s="114"/>
      <c r="S45" s="116"/>
      <c r="T45" s="77"/>
    </row>
    <row r="46" spans="1:20" ht="12.75">
      <c r="A46" s="393"/>
      <c r="B46" s="649"/>
      <c r="C46" s="649" t="s">
        <v>599</v>
      </c>
      <c r="D46" s="649"/>
      <c r="H46" s="368"/>
      <c r="I46" s="642"/>
      <c r="J46" s="401">
        <f>C9</f>
        <v>4.32</v>
      </c>
      <c r="K46" s="425">
        <f>J46*(I46)</f>
        <v>0</v>
      </c>
      <c r="L46" s="425">
        <f>I46</f>
        <v>0</v>
      </c>
      <c r="M46" s="425">
        <f>I10</f>
        <v>3.55</v>
      </c>
      <c r="N46" s="408">
        <f t="shared" si="3"/>
        <v>0</v>
      </c>
      <c r="O46" s="430"/>
      <c r="P46" s="120"/>
      <c r="Q46" s="76"/>
      <c r="R46" s="114"/>
      <c r="S46" s="116"/>
      <c r="T46" s="77"/>
    </row>
    <row r="47" spans="1:20" ht="12.75">
      <c r="A47" s="393"/>
      <c r="B47" s="390"/>
      <c r="C47" s="390"/>
      <c r="D47" s="390"/>
      <c r="E47" s="368"/>
      <c r="F47" s="368"/>
      <c r="G47" s="368"/>
      <c r="H47" s="368"/>
      <c r="I47" s="425"/>
      <c r="J47" s="401"/>
      <c r="K47" s="425"/>
      <c r="L47" s="425"/>
      <c r="M47" s="425"/>
      <c r="N47" s="408"/>
      <c r="O47" s="430"/>
      <c r="P47" s="120"/>
      <c r="Q47" s="76"/>
      <c r="R47" s="114"/>
      <c r="S47" s="116"/>
      <c r="T47" s="77"/>
    </row>
    <row r="48" spans="1:20" ht="15.75">
      <c r="A48" s="652">
        <v>2</v>
      </c>
      <c r="B48" s="653" t="s">
        <v>430</v>
      </c>
      <c r="C48" s="654"/>
      <c r="D48" s="654"/>
      <c r="E48" s="655"/>
      <c r="F48" s="655"/>
      <c r="G48" s="655"/>
      <c r="H48" s="368"/>
      <c r="I48" s="659">
        <f>LINEA!E20+LINEA!E26+LINEA!E31</f>
        <v>0</v>
      </c>
      <c r="J48" s="425">
        <f>C8</f>
        <v>5</v>
      </c>
      <c r="K48" s="425">
        <f>J48*(I48)</f>
        <v>0</v>
      </c>
      <c r="L48" s="425"/>
      <c r="M48" s="425"/>
      <c r="N48" s="408"/>
      <c r="O48" s="430"/>
      <c r="P48" s="119"/>
      <c r="Q48" s="76"/>
      <c r="R48" s="114"/>
      <c r="S48" s="116"/>
      <c r="T48" s="77"/>
    </row>
    <row r="49" spans="1:20" ht="13.5" thickBot="1">
      <c r="A49" s="393">
        <v>6</v>
      </c>
      <c r="B49" s="390"/>
      <c r="C49" s="390"/>
      <c r="D49" s="390"/>
      <c r="E49" s="368"/>
      <c r="F49" s="368"/>
      <c r="G49" s="368"/>
      <c r="H49" s="368"/>
      <c r="I49" s="425"/>
      <c r="J49" s="425"/>
      <c r="K49" s="425">
        <f>J49*(I49)</f>
        <v>0</v>
      </c>
      <c r="L49" s="425"/>
      <c r="M49" s="425"/>
      <c r="N49" s="408"/>
      <c r="O49" s="430"/>
      <c r="P49" s="120"/>
      <c r="Q49" s="76"/>
      <c r="R49" s="114"/>
      <c r="S49" s="116"/>
      <c r="T49" s="639"/>
    </row>
    <row r="50" spans="1:20" ht="13.5" thickBot="1">
      <c r="A50" s="671"/>
      <c r="B50" s="672" t="s">
        <v>14</v>
      </c>
      <c r="C50" s="673"/>
      <c r="D50" s="673"/>
      <c r="E50" s="673"/>
      <c r="F50" s="673"/>
      <c r="G50" s="673"/>
      <c r="H50" s="428"/>
      <c r="I50" s="381">
        <f>SUM(I52:I75)</f>
        <v>0</v>
      </c>
      <c r="J50" s="381"/>
      <c r="K50" s="381">
        <f>SUM(K52:K75)</f>
        <v>0</v>
      </c>
      <c r="L50" s="381">
        <f>SUM(L52:L75)</f>
        <v>0</v>
      </c>
      <c r="M50" s="381"/>
      <c r="N50" s="381">
        <f>SUM(N52:N75)</f>
        <v>0</v>
      </c>
      <c r="O50" s="430"/>
      <c r="P50" s="120"/>
      <c r="Q50" s="76"/>
      <c r="R50" s="114"/>
      <c r="S50" s="116"/>
      <c r="T50" s="77"/>
    </row>
    <row r="51" spans="1:20" ht="6" customHeight="1">
      <c r="A51" s="394"/>
      <c r="B51" s="111"/>
      <c r="C51" s="390"/>
      <c r="D51" s="390"/>
      <c r="E51" s="390"/>
      <c r="F51" s="390"/>
      <c r="G51" s="390"/>
      <c r="H51" s="390"/>
      <c r="I51" s="352"/>
      <c r="J51" s="352"/>
      <c r="K51" s="352"/>
      <c r="L51" s="352"/>
      <c r="M51" s="352"/>
      <c r="N51" s="384"/>
      <c r="O51" s="430"/>
      <c r="P51" s="120"/>
      <c r="Q51" s="76"/>
      <c r="R51" s="114"/>
      <c r="S51" s="116"/>
      <c r="T51" s="77"/>
    </row>
    <row r="52" spans="1:20" ht="15.75">
      <c r="A52" s="652">
        <v>1</v>
      </c>
      <c r="B52" s="653" t="s">
        <v>538</v>
      </c>
      <c r="C52" s="654"/>
      <c r="D52" s="654"/>
      <c r="E52" s="655"/>
      <c r="F52" s="655"/>
      <c r="G52" s="655"/>
      <c r="H52" s="368"/>
      <c r="I52" s="659">
        <f>ELITE!E12</f>
        <v>0</v>
      </c>
      <c r="J52" s="425">
        <f>C8</f>
        <v>5</v>
      </c>
      <c r="K52" s="425">
        <f>I52*J52</f>
        <v>0</v>
      </c>
      <c r="L52" s="425">
        <f>I52</f>
        <v>0</v>
      </c>
      <c r="M52" s="425">
        <f>I9</f>
        <v>5</v>
      </c>
      <c r="N52" s="408">
        <f>L52*M52</f>
        <v>0</v>
      </c>
      <c r="O52" s="430"/>
      <c r="P52" s="120"/>
      <c r="Q52" s="76"/>
      <c r="R52" s="114"/>
      <c r="S52" s="116"/>
      <c r="T52" s="80"/>
    </row>
    <row r="53" spans="1:20" ht="6.75" customHeight="1">
      <c r="A53" s="393"/>
      <c r="B53" s="424"/>
      <c r="C53" s="390"/>
      <c r="D53" s="390"/>
      <c r="E53" s="368"/>
      <c r="F53" s="368"/>
      <c r="G53" s="368"/>
      <c r="H53" s="368"/>
      <c r="I53" s="425"/>
      <c r="J53" s="425"/>
      <c r="K53" s="425"/>
      <c r="L53" s="425"/>
      <c r="M53" s="425"/>
      <c r="N53" s="408"/>
      <c r="O53" s="430"/>
      <c r="P53" s="120"/>
      <c r="Q53" s="76"/>
      <c r="R53" s="114"/>
      <c r="S53" s="116"/>
      <c r="T53" s="80"/>
    </row>
    <row r="54" spans="1:20" ht="15.75">
      <c r="A54" s="652">
        <v>2</v>
      </c>
      <c r="B54" s="653" t="s">
        <v>539</v>
      </c>
      <c r="C54" s="654"/>
      <c r="D54" s="654"/>
      <c r="E54" s="655"/>
      <c r="F54" s="655"/>
      <c r="G54" s="655"/>
      <c r="H54" s="368"/>
      <c r="I54" s="659">
        <f>ELITE!E6</f>
        <v>0</v>
      </c>
      <c r="J54" s="425">
        <f>C8</f>
        <v>5</v>
      </c>
      <c r="K54" s="425">
        <f>I54*J54</f>
        <v>0</v>
      </c>
      <c r="L54" s="425">
        <f>I54</f>
        <v>0</v>
      </c>
      <c r="M54" s="425">
        <f>I9</f>
        <v>5</v>
      </c>
      <c r="N54" s="408">
        <f>L54*M54</f>
        <v>0</v>
      </c>
      <c r="O54" s="430"/>
      <c r="P54" s="120"/>
      <c r="Q54" s="76"/>
      <c r="R54" s="114"/>
      <c r="S54" s="116"/>
      <c r="T54" s="77"/>
    </row>
    <row r="55" spans="1:20" s="76" customFormat="1" ht="6" customHeight="1">
      <c r="A55" s="393"/>
      <c r="B55" s="424"/>
      <c r="C55" s="390"/>
      <c r="D55" s="390"/>
      <c r="E55" s="368"/>
      <c r="F55" s="368"/>
      <c r="G55" s="368"/>
      <c r="H55" s="368"/>
      <c r="I55" s="425"/>
      <c r="J55" s="425"/>
      <c r="K55" s="425"/>
      <c r="L55" s="425"/>
      <c r="M55" s="425"/>
      <c r="N55" s="408"/>
      <c r="O55" s="430"/>
      <c r="P55" s="120"/>
      <c r="R55" s="114"/>
      <c r="S55" s="116"/>
      <c r="T55" s="77"/>
    </row>
    <row r="56" spans="1:20" ht="16.5" thickBot="1">
      <c r="A56" s="652">
        <v>3</v>
      </c>
      <c r="B56" s="653" t="s">
        <v>301</v>
      </c>
      <c r="C56" s="654"/>
      <c r="D56" s="654"/>
      <c r="E56" s="655"/>
      <c r="F56" s="655"/>
      <c r="G56" s="655"/>
      <c r="H56" s="368"/>
      <c r="I56" s="659">
        <f>ELITE!E23-I57-I58</f>
        <v>0</v>
      </c>
      <c r="J56" s="425">
        <f>C10</f>
        <v>3.5</v>
      </c>
      <c r="K56" s="425">
        <f>I56*J56</f>
        <v>0</v>
      </c>
      <c r="L56" s="425">
        <f>I56</f>
        <v>0</v>
      </c>
      <c r="M56" s="425">
        <f>I11</f>
        <v>2.9</v>
      </c>
      <c r="N56" s="408">
        <f>L56*M56</f>
        <v>0</v>
      </c>
      <c r="O56" s="430"/>
      <c r="P56" s="120"/>
      <c r="Q56" s="76"/>
      <c r="R56" s="114"/>
      <c r="S56" s="116"/>
      <c r="T56" s="77"/>
    </row>
    <row r="57" spans="1:20" ht="15.75">
      <c r="A57" s="111"/>
      <c r="B57" s="648"/>
      <c r="C57" s="660" t="s">
        <v>597</v>
      </c>
      <c r="D57" s="649"/>
      <c r="H57" s="368"/>
      <c r="I57" s="644"/>
      <c r="J57" s="401">
        <f>C9</f>
        <v>4.32</v>
      </c>
      <c r="K57" s="425">
        <f>I57*J57</f>
        <v>0</v>
      </c>
      <c r="L57" s="425">
        <f>I57</f>
        <v>0</v>
      </c>
      <c r="M57" s="425">
        <f>I10</f>
        <v>3.55</v>
      </c>
      <c r="N57" s="408">
        <f>L57*M57</f>
        <v>0</v>
      </c>
      <c r="O57" s="430"/>
      <c r="P57" s="120"/>
      <c r="Q57" s="76"/>
      <c r="R57" s="114"/>
      <c r="S57" s="116"/>
      <c r="T57" s="77"/>
    </row>
    <row r="58" spans="1:20" ht="16.5" thickBot="1">
      <c r="A58" s="111"/>
      <c r="B58" s="648"/>
      <c r="C58" s="660" t="s">
        <v>601</v>
      </c>
      <c r="D58" s="649"/>
      <c r="H58" s="368"/>
      <c r="I58" s="643"/>
      <c r="J58" s="401">
        <f>C8</f>
        <v>5</v>
      </c>
      <c r="K58" s="425">
        <f>I58*J58</f>
        <v>0</v>
      </c>
      <c r="L58" s="425">
        <f>I58</f>
        <v>0</v>
      </c>
      <c r="M58" s="425">
        <f>I9</f>
        <v>5</v>
      </c>
      <c r="N58" s="408">
        <f>L58*M58</f>
        <v>0</v>
      </c>
      <c r="O58" s="430"/>
      <c r="P58" s="120"/>
      <c r="Q58" s="76"/>
      <c r="R58" s="114"/>
      <c r="S58" s="116"/>
      <c r="T58" s="77"/>
    </row>
    <row r="59" spans="1:20" ht="7.5" customHeight="1">
      <c r="A59" s="111"/>
      <c r="B59" s="424"/>
      <c r="C59" s="111"/>
      <c r="D59" s="390"/>
      <c r="E59" s="368"/>
      <c r="F59" s="368"/>
      <c r="G59" s="368"/>
      <c r="H59" s="368"/>
      <c r="I59" s="401"/>
      <c r="J59" s="401"/>
      <c r="K59" s="425"/>
      <c r="L59" s="425"/>
      <c r="M59" s="425"/>
      <c r="N59" s="408"/>
      <c r="O59" s="430"/>
      <c r="P59" s="120"/>
      <c r="Q59" s="76"/>
      <c r="R59" s="114"/>
      <c r="S59" s="116"/>
      <c r="T59" s="77"/>
    </row>
    <row r="60" spans="1:20" ht="15.75">
      <c r="A60" s="652">
        <v>4</v>
      </c>
      <c r="B60" s="653" t="s">
        <v>604</v>
      </c>
      <c r="C60" s="654"/>
      <c r="D60" s="654"/>
      <c r="E60" s="655"/>
      <c r="F60" s="655"/>
      <c r="G60" s="655"/>
      <c r="H60" s="368"/>
      <c r="I60" s="401"/>
      <c r="J60" s="401"/>
      <c r="K60" s="425"/>
      <c r="L60" s="425"/>
      <c r="M60" s="425"/>
      <c r="N60" s="408"/>
      <c r="O60" s="430"/>
      <c r="P60" s="120"/>
      <c r="Q60" s="76"/>
      <c r="R60" s="114"/>
      <c r="S60" s="116"/>
      <c r="T60" s="77"/>
    </row>
    <row r="61" spans="1:20" ht="12.75">
      <c r="A61" s="111"/>
      <c r="B61" s="660" t="s">
        <v>598</v>
      </c>
      <c r="C61" s="649"/>
      <c r="D61" s="649"/>
      <c r="H61" s="368"/>
      <c r="I61" s="401"/>
      <c r="J61" s="401"/>
      <c r="K61" s="425"/>
      <c r="L61" s="425"/>
      <c r="M61" s="425"/>
      <c r="N61" s="408"/>
      <c r="O61" s="430"/>
      <c r="P61" s="120"/>
      <c r="Q61" s="76"/>
      <c r="R61" s="114"/>
      <c r="S61" s="116"/>
      <c r="T61" s="77"/>
    </row>
    <row r="62" spans="1:20" ht="13.5" thickBot="1">
      <c r="A62" s="111"/>
      <c r="B62" s="649"/>
      <c r="C62" s="649" t="s">
        <v>595</v>
      </c>
      <c r="D62" s="649"/>
      <c r="H62" s="368"/>
      <c r="I62" s="661">
        <f>ELITE!E36-I63-I64-I66-I67-I68</f>
        <v>0</v>
      </c>
      <c r="J62" s="401">
        <f>J40</f>
        <v>3.5</v>
      </c>
      <c r="K62" s="425">
        <f>I62*J62</f>
        <v>0</v>
      </c>
      <c r="L62" s="425">
        <f>I62</f>
        <v>0</v>
      </c>
      <c r="M62" s="425">
        <f>M40</f>
        <v>2.9</v>
      </c>
      <c r="N62" s="408">
        <f>L62*M62</f>
        <v>0</v>
      </c>
      <c r="O62" s="430"/>
      <c r="P62" s="120"/>
      <c r="Q62" s="76"/>
      <c r="R62" s="114"/>
      <c r="S62" s="116"/>
      <c r="T62" s="77"/>
    </row>
    <row r="63" spans="1:20" ht="12.75">
      <c r="A63" s="111"/>
      <c r="B63" s="649"/>
      <c r="C63" s="649" t="s">
        <v>602</v>
      </c>
      <c r="D63" s="649"/>
      <c r="H63" s="368"/>
      <c r="I63" s="644"/>
      <c r="J63" s="401">
        <f>J41</f>
        <v>5</v>
      </c>
      <c r="K63" s="425">
        <f>I63*J63</f>
        <v>0</v>
      </c>
      <c r="L63" s="425">
        <f>I63</f>
        <v>0</v>
      </c>
      <c r="M63" s="425">
        <f>M41</f>
        <v>5</v>
      </c>
      <c r="N63" s="408">
        <f>L63*M63</f>
        <v>0</v>
      </c>
      <c r="O63" s="430"/>
      <c r="P63" s="120"/>
      <c r="Q63" s="76"/>
      <c r="R63" s="114"/>
      <c r="S63" s="116"/>
      <c r="T63" s="77"/>
    </row>
    <row r="64" spans="1:20" ht="12.75">
      <c r="A64" s="111"/>
      <c r="B64" s="649"/>
      <c r="C64" s="649" t="s">
        <v>599</v>
      </c>
      <c r="D64" s="649"/>
      <c r="H64" s="368"/>
      <c r="I64" s="642"/>
      <c r="J64" s="401">
        <f>J42</f>
        <v>3.5</v>
      </c>
      <c r="K64" s="425">
        <f>I64*J64</f>
        <v>0</v>
      </c>
      <c r="L64" s="425">
        <f>I64</f>
        <v>0</v>
      </c>
      <c r="M64" s="425">
        <f>M42</f>
        <v>2.9</v>
      </c>
      <c r="N64" s="408">
        <f>L64*M64</f>
        <v>0</v>
      </c>
      <c r="O64" s="430"/>
      <c r="P64" s="120"/>
      <c r="Q64" s="76"/>
      <c r="R64" s="114"/>
      <c r="S64" s="116"/>
      <c r="T64" s="77"/>
    </row>
    <row r="65" spans="1:20" ht="13.5" thickBot="1">
      <c r="A65" s="111"/>
      <c r="B65" s="660" t="s">
        <v>597</v>
      </c>
      <c r="C65" s="649"/>
      <c r="D65" s="649"/>
      <c r="H65" s="368"/>
      <c r="I65" s="401"/>
      <c r="J65" s="401"/>
      <c r="K65" s="425"/>
      <c r="L65" s="425"/>
      <c r="M65" s="425"/>
      <c r="N65" s="408"/>
      <c r="O65" s="430"/>
      <c r="P65" s="120"/>
      <c r="Q65" s="76"/>
      <c r="R65" s="114"/>
      <c r="S65" s="116"/>
      <c r="T65" s="77"/>
    </row>
    <row r="66" spans="1:20" ht="12.75">
      <c r="A66" s="111"/>
      <c r="B66" s="649"/>
      <c r="C66" s="649" t="s">
        <v>595</v>
      </c>
      <c r="D66" s="649"/>
      <c r="H66" s="368"/>
      <c r="I66" s="644"/>
      <c r="J66" s="401">
        <f>J44</f>
        <v>4.32</v>
      </c>
      <c r="K66" s="425">
        <f>I66*J66</f>
        <v>0</v>
      </c>
      <c r="L66" s="425">
        <f>I66</f>
        <v>0</v>
      </c>
      <c r="M66" s="425">
        <f>M44</f>
        <v>3.55</v>
      </c>
      <c r="N66" s="408">
        <f>L66*M66</f>
        <v>0</v>
      </c>
      <c r="O66" s="430"/>
      <c r="P66" s="120"/>
      <c r="Q66" s="76"/>
      <c r="R66" s="114"/>
      <c r="S66" s="116"/>
      <c r="T66" s="77"/>
    </row>
    <row r="67" spans="1:20" ht="12.75">
      <c r="A67" s="111"/>
      <c r="B67" s="649"/>
      <c r="C67" s="649" t="s">
        <v>602</v>
      </c>
      <c r="D67" s="649"/>
      <c r="H67" s="368"/>
      <c r="I67" s="642"/>
      <c r="J67" s="401">
        <f>J45</f>
        <v>5</v>
      </c>
      <c r="K67" s="425">
        <f>I67*J67</f>
        <v>0</v>
      </c>
      <c r="L67" s="425">
        <f>I67</f>
        <v>0</v>
      </c>
      <c r="M67" s="425">
        <f>M45</f>
        <v>5</v>
      </c>
      <c r="N67" s="408">
        <f>L67*M67</f>
        <v>0</v>
      </c>
      <c r="O67" s="430"/>
      <c r="P67" s="120"/>
      <c r="Q67" s="76"/>
      <c r="R67" s="114"/>
      <c r="S67" s="116"/>
      <c r="T67" s="77"/>
    </row>
    <row r="68" spans="1:20" ht="12.75">
      <c r="A68" s="111"/>
      <c r="B68" s="649"/>
      <c r="C68" s="649" t="s">
        <v>599</v>
      </c>
      <c r="D68" s="649"/>
      <c r="H68" s="368"/>
      <c r="I68" s="642"/>
      <c r="J68" s="401">
        <f>J46</f>
        <v>4.32</v>
      </c>
      <c r="K68" s="425">
        <f>I68*J68</f>
        <v>0</v>
      </c>
      <c r="L68" s="425">
        <f>I68</f>
        <v>0</v>
      </c>
      <c r="M68" s="425">
        <f>M46</f>
        <v>3.55</v>
      </c>
      <c r="N68" s="408">
        <f>L68*M68</f>
        <v>0</v>
      </c>
      <c r="O68" s="430"/>
      <c r="P68" s="120"/>
      <c r="Q68" s="76"/>
      <c r="R68" s="114"/>
      <c r="S68" s="116"/>
      <c r="T68" s="77"/>
    </row>
    <row r="69" spans="1:20" ht="5.25" customHeight="1">
      <c r="A69" s="111"/>
      <c r="B69" s="390"/>
      <c r="C69" s="390"/>
      <c r="D69" s="390"/>
      <c r="E69" s="368"/>
      <c r="F69" s="368"/>
      <c r="G69" s="368"/>
      <c r="H69" s="368"/>
      <c r="I69" s="401"/>
      <c r="J69" s="401"/>
      <c r="K69" s="425"/>
      <c r="L69" s="425"/>
      <c r="M69" s="425"/>
      <c r="N69" s="408"/>
      <c r="O69" s="430"/>
      <c r="P69" s="120"/>
      <c r="Q69" s="76"/>
      <c r="R69" s="114"/>
      <c r="S69" s="116"/>
      <c r="T69" s="77"/>
    </row>
    <row r="70" spans="1:20" ht="15.75">
      <c r="A70" s="652">
        <v>5</v>
      </c>
      <c r="B70" s="653" t="s">
        <v>605</v>
      </c>
      <c r="C70" s="654"/>
      <c r="D70" s="654"/>
      <c r="E70" s="655"/>
      <c r="F70" s="655"/>
      <c r="G70" s="655"/>
      <c r="H70" s="368"/>
      <c r="I70" s="401"/>
      <c r="J70" s="401"/>
      <c r="K70" s="425"/>
      <c r="L70" s="425"/>
      <c r="M70" s="425"/>
      <c r="N70" s="408"/>
      <c r="O70" s="430"/>
      <c r="P70" s="120"/>
      <c r="Q70" s="76"/>
      <c r="R70" s="114"/>
      <c r="S70" s="116"/>
      <c r="T70" s="77"/>
    </row>
    <row r="71" spans="1:20" ht="12.75">
      <c r="A71" s="111"/>
      <c r="B71" s="660" t="s">
        <v>606</v>
      </c>
      <c r="C71" s="649"/>
      <c r="D71" s="649"/>
      <c r="H71" s="368"/>
      <c r="I71" s="401"/>
      <c r="J71" s="401"/>
      <c r="K71" s="425"/>
      <c r="L71" s="425"/>
      <c r="M71" s="425"/>
      <c r="N71" s="408"/>
      <c r="O71" s="430"/>
      <c r="P71" s="120"/>
      <c r="Q71" s="76"/>
      <c r="R71" s="114"/>
      <c r="S71" s="116"/>
      <c r="T71" s="77"/>
    </row>
    <row r="72" spans="1:20" ht="13.5" thickBot="1">
      <c r="A72" s="111"/>
      <c r="C72" s="662" t="s">
        <v>598</v>
      </c>
      <c r="D72" s="649"/>
      <c r="H72" s="368"/>
      <c r="I72" s="661">
        <f>ELITE!E49-I73-I74</f>
        <v>0</v>
      </c>
      <c r="J72" s="401">
        <f>C10</f>
        <v>3.5</v>
      </c>
      <c r="K72" s="425">
        <f>I72*J72</f>
        <v>0</v>
      </c>
      <c r="L72" s="425">
        <f>I72</f>
        <v>0</v>
      </c>
      <c r="M72" s="425">
        <f>I11</f>
        <v>2.9</v>
      </c>
      <c r="N72" s="408">
        <f>L72*M72</f>
        <v>0</v>
      </c>
      <c r="O72" s="430"/>
      <c r="P72" s="120"/>
      <c r="Q72" s="76"/>
      <c r="R72" s="114"/>
      <c r="S72" s="116"/>
      <c r="T72" s="77"/>
    </row>
    <row r="73" spans="1:20" ht="12.75">
      <c r="A73" s="111"/>
      <c r="C73" s="662" t="s">
        <v>597</v>
      </c>
      <c r="D73" s="649"/>
      <c r="H73" s="368"/>
      <c r="I73" s="644"/>
      <c r="J73" s="401">
        <f>C9</f>
        <v>4.32</v>
      </c>
      <c r="K73" s="425">
        <f>I73*J73</f>
        <v>0</v>
      </c>
      <c r="L73" s="425">
        <f>I73</f>
        <v>0</v>
      </c>
      <c r="M73" s="425">
        <f>I10</f>
        <v>3.55</v>
      </c>
      <c r="N73" s="408">
        <f>L73*M73</f>
        <v>0</v>
      </c>
      <c r="O73" s="430"/>
      <c r="P73" s="120"/>
      <c r="Q73" s="76"/>
      <c r="R73" s="114"/>
      <c r="S73" s="116"/>
      <c r="T73" s="77"/>
    </row>
    <row r="74" spans="1:20" ht="13.5" thickBot="1">
      <c r="A74" s="111"/>
      <c r="B74" s="660" t="s">
        <v>607</v>
      </c>
      <c r="C74" s="649"/>
      <c r="D74" s="649"/>
      <c r="H74" s="368"/>
      <c r="I74" s="643"/>
      <c r="J74" s="401">
        <f>C8</f>
        <v>5</v>
      </c>
      <c r="K74" s="425">
        <f>I74*J74</f>
        <v>0</v>
      </c>
      <c r="L74" s="425">
        <f>I74</f>
        <v>0</v>
      </c>
      <c r="M74" s="425">
        <f>I9</f>
        <v>5</v>
      </c>
      <c r="N74" s="408">
        <f>L74*M74</f>
        <v>0</v>
      </c>
      <c r="O74" s="430"/>
      <c r="P74" s="120"/>
      <c r="Q74" s="76"/>
      <c r="R74" s="114"/>
      <c r="S74" s="116"/>
      <c r="T74" s="77"/>
    </row>
    <row r="75" spans="1:20" ht="13.5" thickBot="1">
      <c r="A75" s="368"/>
      <c r="B75" s="390"/>
      <c r="C75" s="390"/>
      <c r="D75" s="390"/>
      <c r="E75" s="368"/>
      <c r="F75" s="368"/>
      <c r="G75" s="368"/>
      <c r="H75" s="368"/>
      <c r="I75" s="401"/>
      <c r="J75" s="401"/>
      <c r="K75" s="425"/>
      <c r="L75" s="425"/>
      <c r="M75" s="425"/>
      <c r="N75" s="408"/>
      <c r="O75" s="430"/>
      <c r="P75" s="120"/>
      <c r="Q75" s="76"/>
      <c r="R75" s="114"/>
      <c r="S75" s="116"/>
      <c r="T75" s="77"/>
    </row>
    <row r="76" spans="1:20" ht="13.5" thickBot="1">
      <c r="A76" s="668"/>
      <c r="B76" s="669" t="s">
        <v>15</v>
      </c>
      <c r="C76" s="669"/>
      <c r="D76" s="670"/>
      <c r="E76" s="670"/>
      <c r="F76" s="670"/>
      <c r="G76" s="670"/>
      <c r="H76" s="428"/>
      <c r="I76" s="381">
        <f>SUM(I78:I94)</f>
        <v>0</v>
      </c>
      <c r="J76" s="381"/>
      <c r="K76" s="381">
        <f>SUM(K78:K94)</f>
        <v>0</v>
      </c>
      <c r="L76" s="381">
        <f>SUM(L78:L94)</f>
        <v>0</v>
      </c>
      <c r="M76" s="381"/>
      <c r="N76" s="381">
        <f>SUM(N78:N94)</f>
        <v>0</v>
      </c>
      <c r="O76" s="430"/>
      <c r="P76" s="120"/>
      <c r="Q76" s="76"/>
      <c r="R76" s="114"/>
      <c r="S76" s="116"/>
      <c r="T76" s="77"/>
    </row>
    <row r="77" spans="1:20" ht="5.25" customHeight="1">
      <c r="A77" s="396"/>
      <c r="B77" s="111"/>
      <c r="C77" s="111"/>
      <c r="D77" s="390"/>
      <c r="E77" s="390"/>
      <c r="F77" s="390"/>
      <c r="G77" s="390"/>
      <c r="H77" s="390"/>
      <c r="I77" s="113"/>
      <c r="J77" s="113"/>
      <c r="K77" s="352"/>
      <c r="L77" s="352"/>
      <c r="M77" s="352"/>
      <c r="N77" s="384"/>
      <c r="O77" s="430"/>
      <c r="P77" s="120"/>
      <c r="Q77" s="76"/>
      <c r="R77" s="114"/>
      <c r="S77" s="116"/>
      <c r="T77" s="77"/>
    </row>
    <row r="78" spans="1:20" ht="15.75">
      <c r="A78" s="652">
        <v>1</v>
      </c>
      <c r="B78" s="653" t="s">
        <v>608</v>
      </c>
      <c r="C78" s="654"/>
      <c r="D78" s="663"/>
      <c r="E78" s="655"/>
      <c r="F78" s="655"/>
      <c r="G78" s="655"/>
      <c r="H78" s="368"/>
      <c r="I78" s="401"/>
      <c r="J78" s="401"/>
      <c r="K78" s="425"/>
      <c r="L78" s="425"/>
      <c r="M78" s="425"/>
      <c r="N78" s="408"/>
      <c r="O78" s="430"/>
      <c r="P78" s="120"/>
      <c r="Q78" s="76"/>
      <c r="R78" s="114"/>
      <c r="S78" s="116"/>
      <c r="T78" s="77"/>
    </row>
    <row r="79" spans="1:20" ht="12.75">
      <c r="A79" s="393"/>
      <c r="B79" s="660" t="s">
        <v>598</v>
      </c>
      <c r="C79" s="649"/>
      <c r="D79" s="649"/>
      <c r="H79" s="368"/>
      <c r="I79" s="401"/>
      <c r="J79" s="401"/>
      <c r="K79" s="425"/>
      <c r="L79" s="425"/>
      <c r="M79" s="425"/>
      <c r="N79" s="408"/>
      <c r="O79" s="433"/>
      <c r="P79" s="80"/>
      <c r="Q79" s="76"/>
      <c r="R79" s="114"/>
      <c r="S79" s="116"/>
      <c r="T79" s="77"/>
    </row>
    <row r="80" spans="1:20" ht="13.5" thickBot="1">
      <c r="A80" s="393"/>
      <c r="B80" s="649"/>
      <c r="C80" s="649" t="s">
        <v>595</v>
      </c>
      <c r="D80" s="649"/>
      <c r="H80" s="368"/>
      <c r="I80" s="661">
        <f>'A.RAPIDO'!E6-I81-I82-I84-I85-I86</f>
        <v>0</v>
      </c>
      <c r="J80" s="401">
        <f>J40</f>
        <v>3.5</v>
      </c>
      <c r="K80" s="425">
        <f>J80*(I80)</f>
        <v>0</v>
      </c>
      <c r="L80" s="425">
        <f>I80</f>
        <v>0</v>
      </c>
      <c r="M80" s="425">
        <f>M40</f>
        <v>2.9</v>
      </c>
      <c r="N80" s="408">
        <f>M80*(L80)</f>
        <v>0</v>
      </c>
      <c r="O80" s="433"/>
      <c r="P80" s="80"/>
      <c r="Q80" s="76"/>
      <c r="R80" s="114"/>
      <c r="S80" s="116"/>
      <c r="T80" s="77"/>
    </row>
    <row r="81" spans="1:20" ht="12.75">
      <c r="A81" s="393"/>
      <c r="B81" s="649"/>
      <c r="C81" s="649" t="s">
        <v>602</v>
      </c>
      <c r="D81" s="649"/>
      <c r="H81" s="368"/>
      <c r="I81" s="644"/>
      <c r="J81" s="401">
        <f>J41</f>
        <v>5</v>
      </c>
      <c r="K81" s="425">
        <f>J81*(I81)</f>
        <v>0</v>
      </c>
      <c r="L81" s="425">
        <f>I81</f>
        <v>0</v>
      </c>
      <c r="M81" s="425">
        <f>M41</f>
        <v>5</v>
      </c>
      <c r="N81" s="408">
        <f>M81*(L81)</f>
        <v>0</v>
      </c>
      <c r="O81" s="433"/>
      <c r="P81" s="80"/>
      <c r="Q81" s="76"/>
      <c r="R81" s="114"/>
      <c r="S81" s="116"/>
      <c r="T81" s="77"/>
    </row>
    <row r="82" spans="1:20" ht="12.75">
      <c r="A82" s="393"/>
      <c r="B82" s="649"/>
      <c r="C82" s="649" t="s">
        <v>599</v>
      </c>
      <c r="D82" s="649"/>
      <c r="H82" s="368"/>
      <c r="I82" s="642"/>
      <c r="J82" s="401">
        <f>J42</f>
        <v>3.5</v>
      </c>
      <c r="K82" s="425">
        <f>J82*(I82)</f>
        <v>0</v>
      </c>
      <c r="L82" s="425">
        <f>I82</f>
        <v>0</v>
      </c>
      <c r="M82" s="425">
        <f>M42</f>
        <v>2.9</v>
      </c>
      <c r="N82" s="408">
        <f>M82*(L82)</f>
        <v>0</v>
      </c>
      <c r="O82" s="433"/>
      <c r="P82" s="80"/>
      <c r="Q82" s="76"/>
      <c r="R82" s="114"/>
      <c r="S82" s="116"/>
      <c r="T82" s="77"/>
    </row>
    <row r="83" spans="1:20" ht="13.5" thickBot="1">
      <c r="A83" s="393"/>
      <c r="B83" s="660" t="s">
        <v>597</v>
      </c>
      <c r="C83" s="649"/>
      <c r="D83" s="649"/>
      <c r="H83" s="368"/>
      <c r="I83" s="401"/>
      <c r="J83" s="401"/>
      <c r="K83" s="425"/>
      <c r="L83" s="425"/>
      <c r="M83" s="425"/>
      <c r="N83" s="408"/>
      <c r="O83" s="433"/>
      <c r="P83" s="80"/>
      <c r="Q83" s="76"/>
      <c r="R83" s="114"/>
      <c r="S83" s="116"/>
      <c r="T83" s="77"/>
    </row>
    <row r="84" spans="1:20" ht="12.75">
      <c r="A84" s="393"/>
      <c r="B84" s="649"/>
      <c r="C84" s="649" t="s">
        <v>595</v>
      </c>
      <c r="D84" s="649"/>
      <c r="H84" s="368"/>
      <c r="I84" s="644"/>
      <c r="J84" s="401">
        <f>J44</f>
        <v>4.32</v>
      </c>
      <c r="K84" s="425">
        <f>J84*(I84)</f>
        <v>0</v>
      </c>
      <c r="L84" s="425">
        <f>I84</f>
        <v>0</v>
      </c>
      <c r="M84" s="425">
        <f>M44</f>
        <v>3.55</v>
      </c>
      <c r="N84" s="408">
        <f>M84*(L84)</f>
        <v>0</v>
      </c>
      <c r="O84" s="433"/>
      <c r="P84" s="80"/>
      <c r="Q84" s="76"/>
      <c r="R84" s="114"/>
      <c r="S84" s="116"/>
      <c r="T84" s="77"/>
    </row>
    <row r="85" spans="1:20" ht="12.75">
      <c r="A85" s="393"/>
      <c r="B85" s="649"/>
      <c r="C85" s="649" t="s">
        <v>602</v>
      </c>
      <c r="D85" s="649"/>
      <c r="H85" s="368"/>
      <c r="I85" s="642"/>
      <c r="J85" s="401">
        <f>J45</f>
        <v>5</v>
      </c>
      <c r="K85" s="425">
        <f>J85*(I85)</f>
        <v>0</v>
      </c>
      <c r="L85" s="425">
        <f>I85</f>
        <v>0</v>
      </c>
      <c r="M85" s="425">
        <f>M45</f>
        <v>5</v>
      </c>
      <c r="N85" s="408">
        <f>M85*(L85)</f>
        <v>0</v>
      </c>
      <c r="O85" s="433"/>
      <c r="P85" s="80"/>
      <c r="Q85" s="76"/>
      <c r="R85" s="114"/>
      <c r="S85" s="116"/>
      <c r="T85" s="77"/>
    </row>
    <row r="86" spans="1:20" ht="12.75">
      <c r="A86" s="393"/>
      <c r="B86" s="649"/>
      <c r="C86" s="649" t="s">
        <v>599</v>
      </c>
      <c r="D86" s="649"/>
      <c r="H86" s="368"/>
      <c r="I86" s="642"/>
      <c r="J86" s="401">
        <f>J46</f>
        <v>4.32</v>
      </c>
      <c r="K86" s="425">
        <f>J86*(I86)</f>
        <v>0</v>
      </c>
      <c r="L86" s="425">
        <f>I86</f>
        <v>0</v>
      </c>
      <c r="M86" s="425">
        <f>M46</f>
        <v>3.55</v>
      </c>
      <c r="N86" s="408">
        <f>M86*(L86)</f>
        <v>0</v>
      </c>
      <c r="O86" s="433"/>
      <c r="P86" s="80"/>
      <c r="Q86" s="76"/>
      <c r="R86" s="114"/>
      <c r="S86" s="116"/>
      <c r="T86" s="77"/>
    </row>
    <row r="87" spans="1:20" ht="12.75">
      <c r="A87" s="393"/>
      <c r="B87" s="432"/>
      <c r="C87" s="390"/>
      <c r="D87" s="432"/>
      <c r="E87" s="368"/>
      <c r="F87" s="368"/>
      <c r="G87" s="368"/>
      <c r="H87" s="368"/>
      <c r="I87" s="401"/>
      <c r="J87" s="401"/>
      <c r="K87" s="425"/>
      <c r="L87" s="425"/>
      <c r="M87" s="425"/>
      <c r="N87" s="408"/>
      <c r="O87" s="433"/>
      <c r="P87" s="80"/>
      <c r="Q87" s="76"/>
      <c r="R87" s="114"/>
      <c r="S87" s="116"/>
      <c r="T87" s="77"/>
    </row>
    <row r="88" spans="1:20" ht="15.75">
      <c r="A88" s="652">
        <v>2</v>
      </c>
      <c r="B88" s="653" t="s">
        <v>609</v>
      </c>
      <c r="C88" s="654"/>
      <c r="D88" s="663"/>
      <c r="E88" s="655"/>
      <c r="F88" s="655"/>
      <c r="G88" s="655"/>
      <c r="H88" s="368"/>
      <c r="I88" s="401"/>
      <c r="J88" s="401"/>
      <c r="K88" s="425"/>
      <c r="L88" s="425"/>
      <c r="M88" s="425"/>
      <c r="N88" s="408"/>
      <c r="O88" s="430"/>
      <c r="P88" s="120"/>
      <c r="Q88" s="127"/>
      <c r="R88" s="114"/>
      <c r="S88" s="116"/>
      <c r="T88" s="77"/>
    </row>
    <row r="89" spans="1:20" ht="12.75">
      <c r="A89" s="111"/>
      <c r="B89" s="662"/>
      <c r="C89" s="649" t="s">
        <v>610</v>
      </c>
      <c r="D89" s="662"/>
      <c r="H89" s="368"/>
      <c r="I89" s="661">
        <f>'A.RAPIDO'!E21</f>
        <v>0</v>
      </c>
      <c r="J89" s="401">
        <f>$C$8</f>
        <v>5</v>
      </c>
      <c r="K89" s="425">
        <f>J89*(I89)</f>
        <v>0</v>
      </c>
      <c r="L89" s="425">
        <f>I89</f>
        <v>0</v>
      </c>
      <c r="M89" s="425">
        <f>$I$9</f>
        <v>5</v>
      </c>
      <c r="N89" s="408">
        <f>M89*(L89)</f>
        <v>0</v>
      </c>
      <c r="O89" s="430"/>
      <c r="P89" s="120"/>
      <c r="Q89" s="127"/>
      <c r="R89" s="114"/>
      <c r="S89" s="116"/>
      <c r="T89" s="77"/>
    </row>
    <row r="90" spans="1:20" ht="12.75">
      <c r="A90" s="111"/>
      <c r="B90" s="662"/>
      <c r="C90" s="649" t="s">
        <v>611</v>
      </c>
      <c r="D90" s="662"/>
      <c r="H90" s="368"/>
      <c r="I90" s="661">
        <f>'A.RAPIDO'!E22</f>
        <v>0</v>
      </c>
      <c r="J90" s="401">
        <f>$C$8</f>
        <v>5</v>
      </c>
      <c r="K90" s="425">
        <f>J90*(I90)</f>
        <v>0</v>
      </c>
      <c r="L90" s="425">
        <f>I90</f>
        <v>0</v>
      </c>
      <c r="M90" s="425">
        <f>$I$9</f>
        <v>5</v>
      </c>
      <c r="N90" s="408">
        <f>M90*(L90)</f>
        <v>0</v>
      </c>
      <c r="O90" s="430"/>
      <c r="P90" s="120"/>
      <c r="Q90" s="127"/>
      <c r="R90" s="114"/>
      <c r="S90" s="116"/>
      <c r="T90" s="77"/>
    </row>
    <row r="91" spans="1:20" ht="12.75">
      <c r="A91" s="368"/>
      <c r="B91" s="649"/>
      <c r="C91" s="649" t="s">
        <v>255</v>
      </c>
      <c r="D91" s="649"/>
      <c r="H91" s="368"/>
      <c r="I91" s="661">
        <f>'A.RAPIDO'!E23</f>
        <v>0</v>
      </c>
      <c r="J91" s="401">
        <f>$C$8</f>
        <v>5</v>
      </c>
      <c r="K91" s="425">
        <f>J91*(I91)</f>
        <v>0</v>
      </c>
      <c r="L91" s="425"/>
      <c r="M91" s="425"/>
      <c r="N91" s="408"/>
      <c r="O91" s="430"/>
      <c r="P91" s="120"/>
      <c r="Q91" s="76"/>
      <c r="R91" s="77"/>
      <c r="S91" s="77"/>
      <c r="T91" s="77"/>
    </row>
    <row r="92" spans="1:20" ht="12.75">
      <c r="A92" s="368"/>
      <c r="B92" s="390"/>
      <c r="C92" s="390"/>
      <c r="D92" s="390"/>
      <c r="E92" s="368"/>
      <c r="F92" s="368"/>
      <c r="G92" s="368"/>
      <c r="H92" s="368"/>
      <c r="I92" s="401"/>
      <c r="J92" s="401"/>
      <c r="K92" s="425"/>
      <c r="L92" s="425"/>
      <c r="M92" s="425"/>
      <c r="N92" s="408"/>
      <c r="O92" s="430"/>
      <c r="P92" s="120"/>
      <c r="Q92" s="76"/>
      <c r="R92" s="77"/>
      <c r="S92" s="77"/>
      <c r="T92" s="77"/>
    </row>
    <row r="93" spans="1:20" ht="15.75">
      <c r="A93" s="652">
        <v>3</v>
      </c>
      <c r="B93" s="653" t="s">
        <v>445</v>
      </c>
      <c r="C93" s="654"/>
      <c r="D93" s="663"/>
      <c r="E93" s="655"/>
      <c r="F93" s="655"/>
      <c r="G93" s="655"/>
      <c r="H93" s="368"/>
      <c r="I93" s="661">
        <f>'A.RAPIDO'!E29</f>
        <v>0</v>
      </c>
      <c r="J93" s="401">
        <f>$C$8</f>
        <v>5</v>
      </c>
      <c r="K93" s="425">
        <f>J93*(I93)</f>
        <v>0</v>
      </c>
      <c r="L93" s="425"/>
      <c r="M93" s="425"/>
      <c r="N93" s="408"/>
      <c r="O93" s="430"/>
      <c r="P93" s="120"/>
      <c r="Q93" s="76"/>
      <c r="R93" s="77"/>
      <c r="S93" s="77"/>
      <c r="T93" s="77"/>
    </row>
    <row r="94" spans="1:23" ht="13.5" thickBot="1">
      <c r="A94" s="368"/>
      <c r="B94" s="390"/>
      <c r="C94" s="390"/>
      <c r="D94" s="390"/>
      <c r="E94" s="368"/>
      <c r="F94" s="368"/>
      <c r="G94" s="368"/>
      <c r="H94" s="368"/>
      <c r="I94" s="425"/>
      <c r="J94" s="425"/>
      <c r="K94" s="425"/>
      <c r="L94" s="425"/>
      <c r="M94" s="425"/>
      <c r="N94" s="408"/>
      <c r="O94" s="430"/>
      <c r="P94" s="120"/>
      <c r="Q94" s="76"/>
      <c r="R94" s="78"/>
      <c r="S94" s="78"/>
      <c r="T94" s="78"/>
      <c r="U94" s="47"/>
      <c r="V94" s="47"/>
      <c r="W94" s="47"/>
    </row>
    <row r="95" spans="1:25" ht="13.5" thickBot="1">
      <c r="A95" s="665"/>
      <c r="B95" s="666" t="s">
        <v>16</v>
      </c>
      <c r="C95" s="667"/>
      <c r="D95" s="667"/>
      <c r="E95" s="667"/>
      <c r="F95" s="667"/>
      <c r="G95" s="667"/>
      <c r="H95" s="428"/>
      <c r="I95" s="381">
        <f>SUM(I96:I107)</f>
        <v>0</v>
      </c>
      <c r="J95" s="381"/>
      <c r="K95" s="381">
        <f>SUM(K96:K107)</f>
        <v>0</v>
      </c>
      <c r="L95" s="381">
        <f>SUM(L96:L107)</f>
        <v>0</v>
      </c>
      <c r="M95" s="381"/>
      <c r="N95" s="381">
        <f>SUM(N96:N107)</f>
        <v>0</v>
      </c>
      <c r="O95" s="433"/>
      <c r="P95" s="80"/>
      <c r="Q95" s="76"/>
      <c r="R95" s="78"/>
      <c r="S95" s="78"/>
      <c r="T95" s="78"/>
      <c r="U95" s="17"/>
      <c r="V95" s="17"/>
      <c r="W95" s="17"/>
      <c r="X95" s="16"/>
      <c r="Y95" s="16"/>
    </row>
    <row r="96" spans="1:25" ht="15.75">
      <c r="A96" s="664">
        <v>1</v>
      </c>
      <c r="B96" s="653" t="s">
        <v>612</v>
      </c>
      <c r="C96" s="654"/>
      <c r="D96" s="654"/>
      <c r="E96" s="655"/>
      <c r="F96" s="655"/>
      <c r="G96" s="655"/>
      <c r="H96" s="368"/>
      <c r="I96" s="401"/>
      <c r="J96" s="401"/>
      <c r="K96" s="425"/>
      <c r="L96" s="425"/>
      <c r="M96" s="425"/>
      <c r="N96" s="408"/>
      <c r="O96" s="430"/>
      <c r="P96" s="120"/>
      <c r="Q96" s="76"/>
      <c r="R96" s="121"/>
      <c r="S96" s="121"/>
      <c r="T96" s="121"/>
      <c r="U96" s="48"/>
      <c r="V96" s="48"/>
      <c r="W96" s="48"/>
      <c r="X96" s="16"/>
      <c r="Y96" s="16"/>
    </row>
    <row r="97" spans="1:25" ht="12.75">
      <c r="A97" s="393"/>
      <c r="B97" s="660" t="s">
        <v>598</v>
      </c>
      <c r="C97" s="649"/>
      <c r="D97" s="649"/>
      <c r="H97" s="368"/>
      <c r="I97" s="401"/>
      <c r="J97" s="401"/>
      <c r="K97" s="425"/>
      <c r="L97" s="425"/>
      <c r="M97" s="425"/>
      <c r="N97" s="408"/>
      <c r="O97" s="430"/>
      <c r="P97" s="120"/>
      <c r="Q97" s="76"/>
      <c r="R97" s="121"/>
      <c r="S97" s="121"/>
      <c r="T97" s="121"/>
      <c r="U97" s="48"/>
      <c r="V97" s="48"/>
      <c r="W97" s="48"/>
      <c r="X97" s="16"/>
      <c r="Y97" s="16"/>
    </row>
    <row r="98" spans="1:25" ht="13.5" thickBot="1">
      <c r="A98" s="393"/>
      <c r="B98" s="649"/>
      <c r="C98" s="649" t="s">
        <v>595</v>
      </c>
      <c r="D98" s="649"/>
      <c r="H98" s="368"/>
      <c r="I98" s="661">
        <f>'A.PESADO'!E6-I99-I100-I102-I103-I104</f>
        <v>0</v>
      </c>
      <c r="J98" s="401">
        <f>J80</f>
        <v>3.5</v>
      </c>
      <c r="K98" s="425">
        <f aca="true" t="shared" si="4" ref="K98:K104">J98*(I98)</f>
        <v>0</v>
      </c>
      <c r="L98" s="425">
        <f aca="true" t="shared" si="5" ref="L98:L104">I98</f>
        <v>0</v>
      </c>
      <c r="M98" s="425">
        <f>M80</f>
        <v>2.9</v>
      </c>
      <c r="N98" s="408">
        <f>M98*(L98)</f>
        <v>0</v>
      </c>
      <c r="O98" s="430"/>
      <c r="P98" s="120"/>
      <c r="Q98" s="76"/>
      <c r="R98" s="121"/>
      <c r="S98" s="121"/>
      <c r="T98" s="121"/>
      <c r="U98" s="48"/>
      <c r="V98" s="48"/>
      <c r="W98" s="48"/>
      <c r="X98" s="16"/>
      <c r="Y98" s="16"/>
    </row>
    <row r="99" spans="1:25" ht="12.75">
      <c r="A99" s="393"/>
      <c r="B99" s="649"/>
      <c r="C99" s="649" t="s">
        <v>602</v>
      </c>
      <c r="D99" s="649"/>
      <c r="H99" s="368"/>
      <c r="I99" s="644"/>
      <c r="J99" s="401">
        <f>J81</f>
        <v>5</v>
      </c>
      <c r="K99" s="425">
        <f t="shared" si="4"/>
        <v>0</v>
      </c>
      <c r="L99" s="425">
        <f t="shared" si="5"/>
        <v>0</v>
      </c>
      <c r="M99" s="425">
        <f>M81</f>
        <v>5</v>
      </c>
      <c r="N99" s="408">
        <f>M99*(L99)</f>
        <v>0</v>
      </c>
      <c r="O99" s="430"/>
      <c r="P99" s="120"/>
      <c r="Q99" s="76"/>
      <c r="R99" s="121"/>
      <c r="S99" s="121"/>
      <c r="T99" s="121"/>
      <c r="U99" s="48"/>
      <c r="V99" s="48"/>
      <c r="W99" s="48"/>
      <c r="X99" s="16"/>
      <c r="Y99" s="16"/>
    </row>
    <row r="100" spans="1:25" ht="12.75">
      <c r="A100" s="393"/>
      <c r="B100" s="649"/>
      <c r="C100" s="649" t="s">
        <v>599</v>
      </c>
      <c r="D100" s="649"/>
      <c r="H100" s="368"/>
      <c r="I100" s="642"/>
      <c r="J100" s="401">
        <f>J82</f>
        <v>3.5</v>
      </c>
      <c r="K100" s="425">
        <f t="shared" si="4"/>
        <v>0</v>
      </c>
      <c r="L100" s="425">
        <f t="shared" si="5"/>
        <v>0</v>
      </c>
      <c r="M100" s="425">
        <f>M82</f>
        <v>2.9</v>
      </c>
      <c r="N100" s="408">
        <f>M100*(L100)</f>
        <v>0</v>
      </c>
      <c r="O100" s="430"/>
      <c r="P100" s="120"/>
      <c r="Q100" s="76"/>
      <c r="R100" s="121"/>
      <c r="S100" s="121"/>
      <c r="T100" s="121"/>
      <c r="U100" s="48"/>
      <c r="V100" s="48"/>
      <c r="W100" s="48"/>
      <c r="X100" s="16"/>
      <c r="Y100" s="16"/>
    </row>
    <row r="101" spans="1:25" ht="13.5" thickBot="1">
      <c r="A101" s="393"/>
      <c r="B101" s="660" t="s">
        <v>597</v>
      </c>
      <c r="C101" s="649"/>
      <c r="D101" s="649"/>
      <c r="H101" s="368"/>
      <c r="I101" s="401"/>
      <c r="J101" s="401"/>
      <c r="K101" s="425">
        <f t="shared" si="4"/>
        <v>0</v>
      </c>
      <c r="L101" s="425">
        <f t="shared" si="5"/>
        <v>0</v>
      </c>
      <c r="M101" s="425"/>
      <c r="N101" s="408"/>
      <c r="O101" s="430"/>
      <c r="P101" s="120"/>
      <c r="Q101" s="76"/>
      <c r="R101" s="121"/>
      <c r="S101" s="121"/>
      <c r="T101" s="121"/>
      <c r="U101" s="48"/>
      <c r="V101" s="48"/>
      <c r="W101" s="48"/>
      <c r="X101" s="16"/>
      <c r="Y101" s="16"/>
    </row>
    <row r="102" spans="1:25" ht="12.75">
      <c r="A102" s="393"/>
      <c r="B102" s="649"/>
      <c r="C102" s="649" t="s">
        <v>595</v>
      </c>
      <c r="D102" s="649"/>
      <c r="H102" s="368"/>
      <c r="I102" s="644"/>
      <c r="J102" s="401">
        <f>J84</f>
        <v>4.32</v>
      </c>
      <c r="K102" s="425">
        <f t="shared" si="4"/>
        <v>0</v>
      </c>
      <c r="L102" s="425">
        <f t="shared" si="5"/>
        <v>0</v>
      </c>
      <c r="M102" s="425">
        <f>M84</f>
        <v>3.55</v>
      </c>
      <c r="N102" s="408">
        <f>M102*(L102)</f>
        <v>0</v>
      </c>
      <c r="O102" s="430"/>
      <c r="P102" s="120"/>
      <c r="Q102" s="76"/>
      <c r="R102" s="121"/>
      <c r="S102" s="121"/>
      <c r="T102" s="121"/>
      <c r="U102" s="48"/>
      <c r="V102" s="48"/>
      <c r="W102" s="48"/>
      <c r="X102" s="16"/>
      <c r="Y102" s="16"/>
    </row>
    <row r="103" spans="1:25" ht="12.75">
      <c r="A103" s="393"/>
      <c r="B103" s="649"/>
      <c r="C103" s="649" t="s">
        <v>602</v>
      </c>
      <c r="D103" s="649"/>
      <c r="H103" s="368"/>
      <c r="I103" s="642"/>
      <c r="J103" s="401">
        <f>J85</f>
        <v>5</v>
      </c>
      <c r="K103" s="425">
        <f t="shared" si="4"/>
        <v>0</v>
      </c>
      <c r="L103" s="425">
        <f t="shared" si="5"/>
        <v>0</v>
      </c>
      <c r="M103" s="425">
        <f>M85</f>
        <v>5</v>
      </c>
      <c r="N103" s="408">
        <f>M103*(L103)</f>
        <v>0</v>
      </c>
      <c r="O103" s="430"/>
      <c r="P103" s="120"/>
      <c r="Q103" s="76"/>
      <c r="R103" s="121"/>
      <c r="S103" s="121"/>
      <c r="T103" s="121"/>
      <c r="U103" s="48"/>
      <c r="V103" s="48"/>
      <c r="W103" s="48"/>
      <c r="X103" s="16"/>
      <c r="Y103" s="16"/>
    </row>
    <row r="104" spans="1:25" ht="12.75">
      <c r="A104" s="393"/>
      <c r="B104" s="649"/>
      <c r="C104" s="649" t="s">
        <v>599</v>
      </c>
      <c r="D104" s="649"/>
      <c r="H104" s="368"/>
      <c r="I104" s="642"/>
      <c r="J104" s="401">
        <f>J86</f>
        <v>4.32</v>
      </c>
      <c r="K104" s="425">
        <f t="shared" si="4"/>
        <v>0</v>
      </c>
      <c r="L104" s="425">
        <f t="shared" si="5"/>
        <v>0</v>
      </c>
      <c r="M104" s="425">
        <f>M86</f>
        <v>3.55</v>
      </c>
      <c r="N104" s="408">
        <f>M104*(L104)</f>
        <v>0</v>
      </c>
      <c r="O104" s="430"/>
      <c r="P104" s="120"/>
      <c r="Q104" s="76"/>
      <c r="R104" s="121"/>
      <c r="S104" s="121"/>
      <c r="T104" s="121"/>
      <c r="U104" s="48"/>
      <c r="V104" s="48"/>
      <c r="W104" s="48"/>
      <c r="X104" s="16"/>
      <c r="Y104" s="16"/>
    </row>
    <row r="105" spans="1:25" ht="12.75">
      <c r="A105" s="368"/>
      <c r="B105" s="390"/>
      <c r="C105" s="390"/>
      <c r="D105" s="390"/>
      <c r="E105" s="368"/>
      <c r="F105" s="368"/>
      <c r="G105" s="368"/>
      <c r="H105" s="368"/>
      <c r="I105" s="401"/>
      <c r="J105" s="401"/>
      <c r="K105" s="425"/>
      <c r="L105" s="425"/>
      <c r="M105" s="425"/>
      <c r="N105" s="408"/>
      <c r="O105" s="430"/>
      <c r="P105" s="120"/>
      <c r="Q105" s="76"/>
      <c r="R105" s="121"/>
      <c r="S105" s="121"/>
      <c r="T105" s="121"/>
      <c r="U105" s="48"/>
      <c r="V105" s="48"/>
      <c r="W105" s="48"/>
      <c r="X105" s="16"/>
      <c r="Y105" s="16"/>
    </row>
    <row r="106" spans="1:25" ht="15.75">
      <c r="A106" s="652">
        <v>2</v>
      </c>
      <c r="B106" s="653" t="s">
        <v>613</v>
      </c>
      <c r="C106" s="654"/>
      <c r="D106" s="654"/>
      <c r="E106" s="655"/>
      <c r="F106" s="655"/>
      <c r="G106" s="655"/>
      <c r="H106" s="368"/>
      <c r="I106" s="661">
        <f>'A.PESADO'!H18+'A.PESADO'!H23+'A.PESADO'!H28+'A.PESADO'!H29+'A.PESADO'!H30+'A.PESADO'!H31+'A.PESADO'!H32+'A.PESADO'!H33+'A.PESADO'!H38+'A.PESADO'!H43</f>
        <v>0</v>
      </c>
      <c r="J106" s="425">
        <f>$C$8</f>
        <v>5</v>
      </c>
      <c r="K106" s="425">
        <f>J106*(I106)</f>
        <v>0</v>
      </c>
      <c r="L106" s="425"/>
      <c r="M106" s="425"/>
      <c r="N106" s="408"/>
      <c r="O106" s="430"/>
      <c r="P106" s="120"/>
      <c r="Q106" s="76"/>
      <c r="R106" s="121"/>
      <c r="S106" s="121"/>
      <c r="T106" s="121"/>
      <c r="U106" s="48"/>
      <c r="V106" s="48"/>
      <c r="W106" s="48"/>
      <c r="X106" s="16"/>
      <c r="Y106" s="16"/>
    </row>
    <row r="107" spans="1:25" ht="13.5" thickBot="1">
      <c r="A107" s="393">
        <v>3</v>
      </c>
      <c r="B107" s="390"/>
      <c r="C107" s="390"/>
      <c r="D107" s="390"/>
      <c r="E107" s="368"/>
      <c r="F107" s="368"/>
      <c r="G107" s="368"/>
      <c r="H107" s="368"/>
      <c r="I107" s="425"/>
      <c r="J107" s="425"/>
      <c r="K107" s="425"/>
      <c r="L107" s="425"/>
      <c r="M107" s="425"/>
      <c r="N107" s="408"/>
      <c r="O107" s="430"/>
      <c r="P107" s="120"/>
      <c r="Q107" s="76"/>
      <c r="R107" s="121"/>
      <c r="S107" s="121"/>
      <c r="T107" s="121"/>
      <c r="U107" s="48"/>
      <c r="V107" s="48"/>
      <c r="W107" s="48"/>
      <c r="X107" s="16"/>
      <c r="Y107" s="16"/>
    </row>
    <row r="108" spans="1:25" ht="13.5" thickBot="1">
      <c r="A108" s="389"/>
      <c r="B108" s="388" t="s">
        <v>18</v>
      </c>
      <c r="C108" s="398"/>
      <c r="D108" s="398"/>
      <c r="E108" s="398"/>
      <c r="F108" s="398"/>
      <c r="G108" s="398"/>
      <c r="H108" s="428"/>
      <c r="I108" s="381">
        <f>SUM(I109:I114)</f>
        <v>0</v>
      </c>
      <c r="J108" s="381"/>
      <c r="K108" s="381">
        <f>SUM(K109:K114)</f>
        <v>0</v>
      </c>
      <c r="L108" s="381">
        <f>SUM(L109:L114)</f>
        <v>0</v>
      </c>
      <c r="M108" s="381"/>
      <c r="N108" s="381">
        <f>SUM(N109:N114)</f>
        <v>0</v>
      </c>
      <c r="O108" s="433"/>
      <c r="P108" s="80"/>
      <c r="Q108" s="76"/>
      <c r="R108" s="121"/>
      <c r="S108" s="121"/>
      <c r="T108" s="121"/>
      <c r="U108" s="48"/>
      <c r="V108" s="48"/>
      <c r="W108" s="48"/>
      <c r="X108" s="16"/>
      <c r="Y108" s="16"/>
    </row>
    <row r="109" spans="1:25" ht="12.75">
      <c r="A109" s="393">
        <v>1</v>
      </c>
      <c r="B109" s="111"/>
      <c r="C109" s="390"/>
      <c r="D109" s="390"/>
      <c r="E109" s="368"/>
      <c r="F109" s="368"/>
      <c r="G109" s="368"/>
      <c r="H109" s="415"/>
      <c r="I109" s="425"/>
      <c r="J109" s="425"/>
      <c r="K109" s="425">
        <f aca="true" t="shared" si="6" ref="K109:K115">J109*(I109)</f>
        <v>0</v>
      </c>
      <c r="L109" s="425"/>
      <c r="M109" s="425"/>
      <c r="N109" s="408">
        <f aca="true" t="shared" si="7" ref="N109:N115">M109*(L109)</f>
        <v>0</v>
      </c>
      <c r="O109" s="430"/>
      <c r="P109" s="120"/>
      <c r="Q109" s="76"/>
      <c r="R109" s="122"/>
      <c r="S109" s="121"/>
      <c r="T109" s="121"/>
      <c r="U109" s="48"/>
      <c r="V109" s="48"/>
      <c r="W109" s="48"/>
      <c r="X109" s="16"/>
      <c r="Y109" s="16"/>
    </row>
    <row r="110" spans="1:25" ht="12.75">
      <c r="A110" s="393">
        <v>2</v>
      </c>
      <c r="B110" s="111"/>
      <c r="C110" s="390"/>
      <c r="D110" s="390"/>
      <c r="E110" s="368"/>
      <c r="F110" s="368"/>
      <c r="G110" s="368"/>
      <c r="H110" s="415"/>
      <c r="I110" s="425"/>
      <c r="J110" s="425"/>
      <c r="K110" s="425">
        <f t="shared" si="6"/>
        <v>0</v>
      </c>
      <c r="L110" s="425"/>
      <c r="M110" s="425"/>
      <c r="N110" s="408">
        <f t="shared" si="7"/>
        <v>0</v>
      </c>
      <c r="O110" s="430"/>
      <c r="P110" s="120"/>
      <c r="Q110" s="76"/>
      <c r="R110" s="122"/>
      <c r="S110" s="121"/>
      <c r="T110" s="121"/>
      <c r="U110" s="48"/>
      <c r="V110" s="48"/>
      <c r="W110" s="48"/>
      <c r="X110" s="16"/>
      <c r="Y110" s="16"/>
    </row>
    <row r="111" spans="1:25" ht="12.75">
      <c r="A111" s="393">
        <v>3</v>
      </c>
      <c r="B111" s="111"/>
      <c r="C111" s="390"/>
      <c r="D111" s="390"/>
      <c r="E111" s="368"/>
      <c r="F111" s="368"/>
      <c r="G111" s="368"/>
      <c r="H111" s="368"/>
      <c r="I111" s="425"/>
      <c r="J111" s="425"/>
      <c r="K111" s="425">
        <f t="shared" si="6"/>
        <v>0</v>
      </c>
      <c r="L111" s="425"/>
      <c r="M111" s="425"/>
      <c r="N111" s="408">
        <f t="shared" si="7"/>
        <v>0</v>
      </c>
      <c r="O111" s="430"/>
      <c r="P111" s="120"/>
      <c r="Q111" s="76"/>
      <c r="R111" s="121"/>
      <c r="S111" s="121"/>
      <c r="T111" s="121"/>
      <c r="U111" s="50"/>
      <c r="V111" s="48"/>
      <c r="W111" s="48"/>
      <c r="X111" s="16"/>
      <c r="Y111" s="16"/>
    </row>
    <row r="112" spans="1:25" ht="12.75">
      <c r="A112" s="393">
        <v>4</v>
      </c>
      <c r="B112" s="111"/>
      <c r="C112" s="390"/>
      <c r="D112" s="390"/>
      <c r="E112" s="368"/>
      <c r="F112" s="368"/>
      <c r="G112" s="368"/>
      <c r="H112" s="368"/>
      <c r="I112" s="425"/>
      <c r="J112" s="425"/>
      <c r="K112" s="425">
        <f t="shared" si="6"/>
        <v>0</v>
      </c>
      <c r="L112" s="425"/>
      <c r="M112" s="425"/>
      <c r="N112" s="408">
        <f t="shared" si="7"/>
        <v>0</v>
      </c>
      <c r="O112" s="430"/>
      <c r="P112" s="120"/>
      <c r="Q112" s="76"/>
      <c r="R112" s="121"/>
      <c r="S112" s="121"/>
      <c r="T112" s="121"/>
      <c r="U112" s="50"/>
      <c r="V112" s="48"/>
      <c r="W112" s="48"/>
      <c r="X112" s="16"/>
      <c r="Y112" s="16"/>
    </row>
    <row r="113" spans="1:25" ht="12.75">
      <c r="A113" s="393">
        <v>5</v>
      </c>
      <c r="B113" s="111"/>
      <c r="C113" s="390"/>
      <c r="D113" s="390"/>
      <c r="E113" s="368"/>
      <c r="F113" s="368"/>
      <c r="G113" s="368"/>
      <c r="H113" s="368"/>
      <c r="I113" s="425"/>
      <c r="J113" s="425"/>
      <c r="K113" s="425">
        <f t="shared" si="6"/>
        <v>0</v>
      </c>
      <c r="L113" s="425"/>
      <c r="M113" s="425"/>
      <c r="N113" s="408">
        <f t="shared" si="7"/>
        <v>0</v>
      </c>
      <c r="O113" s="430"/>
      <c r="P113" s="120"/>
      <c r="Q113" s="76"/>
      <c r="R113" s="121"/>
      <c r="S113" s="121"/>
      <c r="T113" s="121"/>
      <c r="U113" s="50"/>
      <c r="V113" s="48"/>
      <c r="W113" s="48"/>
      <c r="X113" s="16"/>
      <c r="Y113" s="16"/>
    </row>
    <row r="114" spans="1:25" ht="12.75">
      <c r="A114" s="393">
        <v>6</v>
      </c>
      <c r="B114" s="111"/>
      <c r="C114" s="390"/>
      <c r="D114" s="390"/>
      <c r="E114" s="368"/>
      <c r="F114" s="368"/>
      <c r="G114" s="368"/>
      <c r="H114" s="368"/>
      <c r="I114" s="425"/>
      <c r="J114" s="425"/>
      <c r="K114" s="425">
        <f t="shared" si="6"/>
        <v>0</v>
      </c>
      <c r="L114" s="425"/>
      <c r="M114" s="425"/>
      <c r="N114" s="408">
        <f t="shared" si="7"/>
        <v>0</v>
      </c>
      <c r="O114" s="433"/>
      <c r="P114" s="123"/>
      <c r="Q114" s="76"/>
      <c r="R114" s="124"/>
      <c r="S114" s="121"/>
      <c r="T114" s="121"/>
      <c r="U114" s="16"/>
      <c r="V114" s="48"/>
      <c r="W114" s="48"/>
      <c r="X114" s="16"/>
      <c r="Y114" s="16"/>
    </row>
    <row r="115" spans="1:25" ht="13.5" thickBot="1">
      <c r="A115" s="394"/>
      <c r="B115" s="111"/>
      <c r="C115" s="390"/>
      <c r="D115" s="390"/>
      <c r="E115" s="368"/>
      <c r="F115" s="368"/>
      <c r="G115" s="368"/>
      <c r="H115" s="368"/>
      <c r="I115" s="425"/>
      <c r="J115" s="425"/>
      <c r="K115" s="425">
        <f t="shared" si="6"/>
        <v>0</v>
      </c>
      <c r="L115" s="425"/>
      <c r="M115" s="425"/>
      <c r="N115" s="408">
        <f t="shared" si="7"/>
        <v>0</v>
      </c>
      <c r="O115" s="430"/>
      <c r="P115" s="120"/>
      <c r="Q115" s="76"/>
      <c r="R115" s="121"/>
      <c r="S115" s="121"/>
      <c r="T115" s="121"/>
      <c r="U115" s="50"/>
      <c r="V115" s="48"/>
      <c r="W115" s="48"/>
      <c r="X115" s="16"/>
      <c r="Y115" s="16"/>
    </row>
    <row r="116" spans="1:25" ht="13.5" thickBot="1">
      <c r="A116" s="389"/>
      <c r="B116" s="388" t="s">
        <v>1</v>
      </c>
      <c r="C116" s="398"/>
      <c r="D116" s="398"/>
      <c r="E116" s="398"/>
      <c r="F116" s="398"/>
      <c r="G116" s="398"/>
      <c r="H116" s="428"/>
      <c r="I116" s="381">
        <f>I25+I36+I50+I76+I95+I108</f>
        <v>0</v>
      </c>
      <c r="J116" s="381"/>
      <c r="K116" s="434">
        <f>K25+K36+K50+K76+K95+K108</f>
        <v>0</v>
      </c>
      <c r="L116" s="381">
        <f>L25+L36+L50+L76+L95+L108</f>
        <v>0</v>
      </c>
      <c r="M116" s="381"/>
      <c r="N116" s="434">
        <f>N25+N36+N50+N76+N95+N108</f>
        <v>0</v>
      </c>
      <c r="O116" s="430"/>
      <c r="P116" s="120"/>
      <c r="Q116" s="76"/>
      <c r="R116" s="121"/>
      <c r="S116" s="121"/>
      <c r="T116" s="121"/>
      <c r="U116" s="50"/>
      <c r="V116" s="48"/>
      <c r="W116" s="48"/>
      <c r="X116" s="16"/>
      <c r="Y116" s="16"/>
    </row>
    <row r="117" spans="1:25" ht="13.5" thickBot="1">
      <c r="A117" s="368"/>
      <c r="B117" s="368"/>
      <c r="C117" s="368"/>
      <c r="D117" s="368"/>
      <c r="E117" s="368"/>
      <c r="F117" s="368"/>
      <c r="G117" s="368"/>
      <c r="H117" s="368"/>
      <c r="I117" s="368"/>
      <c r="J117" s="435" t="s">
        <v>178</v>
      </c>
      <c r="K117" s="436" t="e">
        <f>K116/I116</f>
        <v>#DIV/0!</v>
      </c>
      <c r="L117" s="368"/>
      <c r="M117" s="435" t="s">
        <v>178</v>
      </c>
      <c r="N117" s="436" t="e">
        <f>N116/L116</f>
        <v>#DIV/0!</v>
      </c>
      <c r="O117" s="430"/>
      <c r="P117" s="120"/>
      <c r="Q117" s="76"/>
      <c r="R117" s="121"/>
      <c r="S117" s="121"/>
      <c r="T117" s="121"/>
      <c r="U117" s="50"/>
      <c r="V117" s="48"/>
      <c r="W117" s="48"/>
      <c r="X117" s="16"/>
      <c r="Y117" s="16"/>
    </row>
    <row r="118" spans="1:25" ht="12.75">
      <c r="A118" s="368"/>
      <c r="B118" s="368"/>
      <c r="C118" s="368"/>
      <c r="D118" s="368"/>
      <c r="E118" s="368"/>
      <c r="F118" s="368"/>
      <c r="G118" s="368"/>
      <c r="H118" s="368"/>
      <c r="I118" s="368"/>
      <c r="J118" s="368"/>
      <c r="K118" s="368"/>
      <c r="L118" s="368"/>
      <c r="M118" s="368"/>
      <c r="N118" s="390"/>
      <c r="O118" s="430"/>
      <c r="P118" s="120"/>
      <c r="Q118" s="76"/>
      <c r="R118" s="121"/>
      <c r="S118" s="121"/>
      <c r="T118" s="121"/>
      <c r="U118" s="50"/>
      <c r="V118" s="48"/>
      <c r="W118" s="48"/>
      <c r="X118" s="16"/>
      <c r="Y118" s="16"/>
    </row>
    <row r="119" spans="1:25" ht="12.75">
      <c r="A119" s="368"/>
      <c r="B119" s="368"/>
      <c r="C119" s="368"/>
      <c r="D119" s="368"/>
      <c r="E119" s="368"/>
      <c r="F119" s="368"/>
      <c r="G119" s="368"/>
      <c r="H119" s="368"/>
      <c r="I119" s="368"/>
      <c r="J119" s="368"/>
      <c r="K119" s="368"/>
      <c r="L119" s="368"/>
      <c r="M119" s="368"/>
      <c r="N119" s="390"/>
      <c r="O119" s="430"/>
      <c r="P119" s="120"/>
      <c r="Q119" s="76"/>
      <c r="R119" s="121"/>
      <c r="S119" s="121"/>
      <c r="T119" s="121"/>
      <c r="U119" s="50"/>
      <c r="V119" s="48"/>
      <c r="W119" s="48"/>
      <c r="X119" s="16"/>
      <c r="Y119" s="16"/>
    </row>
    <row r="120" spans="1:25" ht="12.75">
      <c r="A120" s="368"/>
      <c r="B120" s="368"/>
      <c r="C120" s="368"/>
      <c r="D120" s="368"/>
      <c r="E120" s="368"/>
      <c r="F120" s="368"/>
      <c r="G120" s="368"/>
      <c r="H120" s="368"/>
      <c r="I120" s="368"/>
      <c r="J120" s="368"/>
      <c r="K120" s="368"/>
      <c r="L120" s="368"/>
      <c r="M120" s="368"/>
      <c r="N120" s="368"/>
      <c r="O120" s="430"/>
      <c r="P120" s="120"/>
      <c r="Q120" s="76"/>
      <c r="R120" s="121"/>
      <c r="S120" s="121"/>
      <c r="T120" s="121"/>
      <c r="U120" s="50"/>
      <c r="V120" s="48"/>
      <c r="W120" s="48"/>
      <c r="X120" s="16"/>
      <c r="Y120" s="16"/>
    </row>
    <row r="121" spans="1:25" ht="12.75">
      <c r="A121" s="368"/>
      <c r="B121" s="368"/>
      <c r="C121" s="368"/>
      <c r="D121" s="368"/>
      <c r="E121" s="368"/>
      <c r="F121" s="368"/>
      <c r="G121" s="368"/>
      <c r="H121" s="368"/>
      <c r="I121" s="368"/>
      <c r="J121" s="368"/>
      <c r="K121" s="368"/>
      <c r="L121" s="368"/>
      <c r="M121" s="368"/>
      <c r="N121" s="368"/>
      <c r="O121" s="430"/>
      <c r="P121" s="120"/>
      <c r="Q121" s="76"/>
      <c r="R121" s="121"/>
      <c r="S121" s="121"/>
      <c r="T121" s="121"/>
      <c r="U121" s="50"/>
      <c r="V121" s="48"/>
      <c r="W121" s="48"/>
      <c r="X121" s="16"/>
      <c r="Y121" s="16"/>
    </row>
    <row r="122" spans="1:25" ht="12.75">
      <c r="A122" s="368"/>
      <c r="B122" s="368"/>
      <c r="C122" s="368"/>
      <c r="D122" s="368"/>
      <c r="E122" s="368"/>
      <c r="F122" s="368"/>
      <c r="G122" s="368"/>
      <c r="H122" s="368"/>
      <c r="I122" s="368"/>
      <c r="J122" s="368"/>
      <c r="K122" s="368"/>
      <c r="L122" s="368"/>
      <c r="M122" s="368"/>
      <c r="N122" s="368"/>
      <c r="O122" s="437"/>
      <c r="P122" s="125"/>
      <c r="Q122" s="76"/>
      <c r="R122" s="121"/>
      <c r="S122" s="121"/>
      <c r="T122" s="121"/>
      <c r="U122" s="50"/>
      <c r="V122" s="48"/>
      <c r="W122" s="48"/>
      <c r="X122" s="16"/>
      <c r="Y122" s="16"/>
    </row>
    <row r="123" spans="15:25" ht="12.75">
      <c r="O123" s="680"/>
      <c r="P123" s="686"/>
      <c r="R123" s="684"/>
      <c r="S123" s="684"/>
      <c r="T123" s="48"/>
      <c r="U123" s="50"/>
      <c r="V123" s="48"/>
      <c r="W123" s="48"/>
      <c r="X123" s="16"/>
      <c r="Y123" s="16"/>
    </row>
    <row r="124" spans="15:25" ht="12.75">
      <c r="O124" s="649"/>
      <c r="P124" s="679"/>
      <c r="R124" s="684"/>
      <c r="S124" s="684"/>
      <c r="T124" s="48"/>
      <c r="U124" s="50"/>
      <c r="V124" s="48"/>
      <c r="W124" s="48"/>
      <c r="X124" s="16"/>
      <c r="Y124" s="16"/>
    </row>
    <row r="125" spans="15:25" ht="12.75">
      <c r="O125" s="649"/>
      <c r="P125" s="679"/>
      <c r="R125" s="685"/>
      <c r="S125" s="684"/>
      <c r="T125" s="48"/>
      <c r="U125" s="16"/>
      <c r="V125" s="48"/>
      <c r="W125" s="48"/>
      <c r="X125" s="16"/>
      <c r="Y125" s="16"/>
    </row>
    <row r="126" spans="18:25" ht="12.75">
      <c r="R126" s="684"/>
      <c r="S126" s="684"/>
      <c r="T126" s="48"/>
      <c r="U126" s="50"/>
      <c r="V126" s="48"/>
      <c r="W126" s="48"/>
      <c r="X126" s="16"/>
      <c r="Y126" s="16"/>
    </row>
    <row r="127" spans="18:25" ht="12.75">
      <c r="R127" s="684"/>
      <c r="S127" s="684"/>
      <c r="T127" s="48"/>
      <c r="U127" s="50"/>
      <c r="V127" s="48"/>
      <c r="W127" s="48"/>
      <c r="X127" s="16"/>
      <c r="Y127" s="16"/>
    </row>
    <row r="128" spans="18:25" ht="12.75">
      <c r="R128" s="684"/>
      <c r="S128" s="684"/>
      <c r="T128" s="48"/>
      <c r="U128" s="50"/>
      <c r="V128" s="48"/>
      <c r="W128" s="48"/>
      <c r="X128" s="16"/>
      <c r="Y128" s="16"/>
    </row>
    <row r="129" spans="18:25" ht="12.75">
      <c r="R129" s="684"/>
      <c r="S129" s="684"/>
      <c r="T129" s="48"/>
      <c r="U129" s="50"/>
      <c r="V129" s="48"/>
      <c r="W129" s="48"/>
      <c r="X129" s="16"/>
      <c r="Y129" s="16"/>
    </row>
    <row r="130" spans="18:25" ht="12.75">
      <c r="R130" s="684"/>
      <c r="S130" s="684"/>
      <c r="T130" s="48"/>
      <c r="U130" s="50"/>
      <c r="V130" s="48"/>
      <c r="W130" s="48"/>
      <c r="X130" s="16"/>
      <c r="Y130" s="16"/>
    </row>
    <row r="131" spans="18:25" ht="12.75">
      <c r="R131" s="684"/>
      <c r="S131" s="684"/>
      <c r="T131" s="48"/>
      <c r="U131" s="50"/>
      <c r="V131" s="48"/>
      <c r="W131" s="48"/>
      <c r="X131" s="16"/>
      <c r="Y131" s="16"/>
    </row>
    <row r="132" spans="18:25" ht="12.75">
      <c r="R132" s="684"/>
      <c r="S132" s="684"/>
      <c r="T132" s="48"/>
      <c r="U132" s="50"/>
      <c r="V132" s="48"/>
      <c r="W132" s="48"/>
      <c r="X132" s="16"/>
      <c r="Y132" s="16"/>
    </row>
    <row r="133" spans="18:25" ht="12.75">
      <c r="R133" s="684"/>
      <c r="S133" s="684"/>
      <c r="T133" s="48"/>
      <c r="U133" s="50"/>
      <c r="V133" s="48"/>
      <c r="W133" s="48"/>
      <c r="X133" s="16"/>
      <c r="Y133" s="16"/>
    </row>
    <row r="134" spans="18:25" ht="12.75">
      <c r="R134" s="684"/>
      <c r="S134" s="684"/>
      <c r="T134" s="48"/>
      <c r="U134" s="50"/>
      <c r="V134" s="48"/>
      <c r="W134" s="48"/>
      <c r="X134" s="16"/>
      <c r="Y134" s="16"/>
    </row>
    <row r="135" spans="18:25" ht="12.75">
      <c r="R135" s="684"/>
      <c r="S135" s="684"/>
      <c r="T135" s="48"/>
      <c r="U135" s="50"/>
      <c r="V135" s="48"/>
      <c r="W135" s="48"/>
      <c r="X135" s="16"/>
      <c r="Y135" s="16"/>
    </row>
    <row r="136" spans="18:25" ht="12.75">
      <c r="R136" s="684"/>
      <c r="S136" s="684"/>
      <c r="T136" s="48"/>
      <c r="U136" s="16"/>
      <c r="V136" s="50"/>
      <c r="W136" s="48"/>
      <c r="X136" s="16"/>
      <c r="Y136" s="16"/>
    </row>
    <row r="137" spans="18:25" ht="12.75">
      <c r="R137" s="684"/>
      <c r="S137" s="684"/>
      <c r="T137" s="48"/>
      <c r="U137" s="50"/>
      <c r="V137" s="48"/>
      <c r="W137" s="48"/>
      <c r="X137" s="16"/>
      <c r="Y137" s="16"/>
    </row>
    <row r="138" spans="18:25" ht="12.75">
      <c r="R138" s="684"/>
      <c r="S138" s="684"/>
      <c r="T138" s="48"/>
      <c r="U138" s="50"/>
      <c r="V138" s="48"/>
      <c r="W138" s="48"/>
      <c r="X138" s="16"/>
      <c r="Y138" s="16"/>
    </row>
    <row r="139" spans="18:25" ht="12.75">
      <c r="R139" s="684"/>
      <c r="S139" s="684"/>
      <c r="T139" s="48"/>
      <c r="U139" s="50"/>
      <c r="V139" s="48"/>
      <c r="W139" s="48"/>
      <c r="X139" s="16"/>
      <c r="Y139" s="16"/>
    </row>
    <row r="140" spans="18:25" ht="12.75">
      <c r="R140" s="684"/>
      <c r="S140" s="684"/>
      <c r="T140" s="48"/>
      <c r="U140" s="50"/>
      <c r="V140" s="48"/>
      <c r="W140" s="48"/>
      <c r="X140" s="16"/>
      <c r="Y140" s="16"/>
    </row>
    <row r="141" spans="18:25" ht="12.75">
      <c r="R141" s="684"/>
      <c r="S141" s="684"/>
      <c r="T141" s="48"/>
      <c r="U141" s="50"/>
      <c r="V141" s="48"/>
      <c r="W141" s="48"/>
      <c r="X141" s="16"/>
      <c r="Y141" s="16"/>
    </row>
    <row r="142" spans="18:25" ht="12.75">
      <c r="R142" s="684"/>
      <c r="S142" s="684"/>
      <c r="T142" s="48"/>
      <c r="U142" s="50"/>
      <c r="V142" s="48"/>
      <c r="W142" s="48"/>
      <c r="X142" s="16"/>
      <c r="Y142" s="16"/>
    </row>
    <row r="143" spans="18:25" ht="12.75">
      <c r="R143" s="684"/>
      <c r="S143" s="684"/>
      <c r="T143" s="48"/>
      <c r="U143" s="50"/>
      <c r="V143" s="48"/>
      <c r="W143" s="48"/>
      <c r="X143" s="16"/>
      <c r="Y143" s="16"/>
    </row>
    <row r="144" spans="18:25" ht="12.75">
      <c r="R144" s="684"/>
      <c r="S144" s="684"/>
      <c r="T144" s="48"/>
      <c r="U144" s="50"/>
      <c r="V144" s="48"/>
      <c r="W144" s="48"/>
      <c r="X144" s="16"/>
      <c r="Y144" s="16"/>
    </row>
    <row r="145" spans="18:25" ht="12.75">
      <c r="R145" s="684"/>
      <c r="S145" s="684"/>
      <c r="T145" s="48"/>
      <c r="U145" s="50"/>
      <c r="V145" s="48"/>
      <c r="W145" s="48"/>
      <c r="X145" s="16"/>
      <c r="Y145" s="16"/>
    </row>
    <row r="146" spans="18:25" ht="12.75">
      <c r="R146" s="684"/>
      <c r="S146" s="684"/>
      <c r="T146" s="48"/>
      <c r="U146" s="50"/>
      <c r="V146" s="48"/>
      <c r="W146" s="48"/>
      <c r="X146" s="16"/>
      <c r="Y146" s="16"/>
    </row>
    <row r="147" spans="18:25" ht="12.75">
      <c r="R147" s="684"/>
      <c r="S147" s="684"/>
      <c r="T147" s="48"/>
      <c r="U147" s="50"/>
      <c r="V147" s="48"/>
      <c r="W147" s="48"/>
      <c r="X147" s="16"/>
      <c r="Y147" s="16"/>
    </row>
    <row r="148" spans="18:25" ht="12.75">
      <c r="R148" s="684"/>
      <c r="S148" s="684"/>
      <c r="T148" s="48"/>
      <c r="U148" s="50"/>
      <c r="V148" s="48"/>
      <c r="W148" s="48"/>
      <c r="X148" s="16"/>
      <c r="Y148" s="16"/>
    </row>
    <row r="149" spans="18:25" ht="12.75">
      <c r="R149" s="684"/>
      <c r="S149" s="684"/>
      <c r="T149" s="48"/>
      <c r="U149" s="48"/>
      <c r="V149" s="48"/>
      <c r="W149" s="48"/>
      <c r="X149" s="16"/>
      <c r="Y149" s="16"/>
    </row>
    <row r="150" spans="18:25" ht="12.75">
      <c r="R150" s="683"/>
      <c r="S150" s="683"/>
      <c r="T150" s="17"/>
      <c r="U150" s="17"/>
      <c r="V150" s="17"/>
      <c r="W150" s="17"/>
      <c r="X150" s="17"/>
      <c r="Y150" s="16"/>
    </row>
    <row r="151" spans="18:25" ht="12.75">
      <c r="R151" s="683"/>
      <c r="S151" s="683"/>
      <c r="T151" s="17"/>
      <c r="U151" s="17"/>
      <c r="V151" s="17"/>
      <c r="W151" s="17"/>
      <c r="X151" s="17"/>
      <c r="Y151" s="16"/>
    </row>
  </sheetData>
  <mergeCells count="16">
    <mergeCell ref="L23:N23"/>
    <mergeCell ref="O36:P36"/>
    <mergeCell ref="D6:E6"/>
    <mergeCell ref="G8:H8"/>
    <mergeCell ref="G9:H9"/>
    <mergeCell ref="G10:H10"/>
    <mergeCell ref="G11:H11"/>
    <mergeCell ref="G12:H12"/>
    <mergeCell ref="I23:K23"/>
    <mergeCell ref="G17:H17"/>
    <mergeCell ref="G18:H18"/>
    <mergeCell ref="G19:H19"/>
    <mergeCell ref="G13:H13"/>
    <mergeCell ref="G14:H14"/>
    <mergeCell ref="G15:H15"/>
    <mergeCell ref="G16:H16"/>
  </mergeCells>
  <printOptions/>
  <pageMargins left="0.75" right="0.75" top="1" bottom="1" header="0" footer="0"/>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Y233"/>
  <sheetViews>
    <sheetView workbookViewId="0" topLeftCell="A1">
      <selection activeCell="C3" sqref="C3"/>
    </sheetView>
  </sheetViews>
  <sheetFormatPr defaultColWidth="11.421875" defaultRowHeight="12.75"/>
  <cols>
    <col min="1" max="1" width="5.421875" style="368" customWidth="1"/>
    <col min="2" max="2" width="11.421875" style="368" customWidth="1"/>
    <col min="3" max="3" width="8.28125" style="368" customWidth="1"/>
    <col min="4" max="4" width="6.57421875" style="368" customWidth="1"/>
    <col min="5" max="5" width="6.8515625" style="368" customWidth="1"/>
    <col min="6" max="6" width="11.421875" style="368" customWidth="1"/>
    <col min="7" max="7" width="7.7109375" style="368" customWidth="1"/>
    <col min="8" max="8" width="7.140625" style="368" customWidth="1"/>
    <col min="9" max="14" width="11.421875" style="368" customWidth="1"/>
    <col min="15" max="17" width="8.28125" style="368" customWidth="1"/>
    <col min="18" max="18" width="11.421875" style="368" customWidth="1"/>
    <col min="19" max="19" width="9.00390625" style="0" customWidth="1"/>
    <col min="20" max="20" width="8.28125" style="0" customWidth="1"/>
    <col min="21" max="21" width="11.00390625" style="0" customWidth="1"/>
    <col min="22" max="28" width="4.7109375" style="0" customWidth="1"/>
  </cols>
  <sheetData>
    <row r="1" spans="1:18" s="13" customFormat="1" ht="18.75" thickBot="1">
      <c r="A1" s="389"/>
      <c r="B1" s="397" t="s">
        <v>582</v>
      </c>
      <c r="C1" s="398"/>
      <c r="D1" s="398"/>
      <c r="E1" s="398"/>
      <c r="F1" s="398"/>
      <c r="G1" s="398"/>
      <c r="H1" s="398"/>
      <c r="I1" s="398"/>
      <c r="J1" s="398"/>
      <c r="K1" s="398"/>
      <c r="L1" s="398"/>
      <c r="M1" s="398"/>
      <c r="N1" s="398"/>
      <c r="O1" s="398"/>
      <c r="P1" s="398"/>
      <c r="Q1" s="398"/>
      <c r="R1" s="398"/>
    </row>
    <row r="2" spans="1:18" s="16" customFormat="1" ht="18">
      <c r="A2" s="390"/>
      <c r="B2" s="399"/>
      <c r="C2" s="390"/>
      <c r="D2" s="390"/>
      <c r="E2" s="390"/>
      <c r="F2" s="390"/>
      <c r="G2" s="390"/>
      <c r="H2" s="390"/>
      <c r="I2" s="390"/>
      <c r="J2" s="390"/>
      <c r="K2" s="390"/>
      <c r="L2" s="390"/>
      <c r="M2" s="390"/>
      <c r="N2" s="390"/>
      <c r="O2" s="390"/>
      <c r="P2" s="390"/>
      <c r="Q2" s="390"/>
      <c r="R2" s="390"/>
    </row>
    <row r="3" spans="13:24" ht="20.25">
      <c r="M3" s="110"/>
      <c r="N3" s="447"/>
      <c r="O3" s="447"/>
      <c r="P3" s="447"/>
      <c r="Q3" s="447"/>
      <c r="R3" s="447"/>
      <c r="S3" s="63"/>
      <c r="T3" s="63"/>
      <c r="U3" s="14"/>
      <c r="V3" s="14"/>
      <c r="W3" s="14"/>
      <c r="X3" s="14"/>
    </row>
    <row r="4" spans="13:24" ht="12.75">
      <c r="M4" s="390"/>
      <c r="N4" s="390"/>
      <c r="O4" s="390"/>
      <c r="P4" s="390"/>
      <c r="Q4" s="390"/>
      <c r="R4" s="390"/>
      <c r="S4" s="130"/>
      <c r="T4" s="130"/>
      <c r="U4" s="14"/>
      <c r="V4" s="14"/>
      <c r="W4" s="14"/>
      <c r="X4" s="14"/>
    </row>
    <row r="5" spans="2:24" ht="15.75">
      <c r="B5" s="129" t="s">
        <v>161</v>
      </c>
      <c r="F5" s="400"/>
      <c r="G5" s="400"/>
      <c r="H5" s="129" t="s">
        <v>184</v>
      </c>
      <c r="K5" s="401"/>
      <c r="L5" s="401"/>
      <c r="M5" s="390"/>
      <c r="N5" s="390"/>
      <c r="O5" s="390"/>
      <c r="P5" s="390"/>
      <c r="Q5" s="390"/>
      <c r="R5" s="390"/>
      <c r="S5" s="130"/>
      <c r="T5" s="130"/>
      <c r="U5" s="14"/>
      <c r="V5" s="14"/>
      <c r="W5" s="14"/>
      <c r="X5" s="14"/>
    </row>
    <row r="6" spans="2:20" ht="12.75">
      <c r="B6" s="111"/>
      <c r="C6" s="111"/>
      <c r="D6" s="405"/>
      <c r="E6" s="405"/>
      <c r="F6" s="405"/>
      <c r="G6" s="405"/>
      <c r="H6" s="390"/>
      <c r="I6" s="401"/>
      <c r="J6" s="401"/>
      <c r="K6" s="401"/>
      <c r="L6" s="401"/>
      <c r="M6" s="390"/>
      <c r="N6" s="390"/>
      <c r="O6" s="390"/>
      <c r="P6" s="390"/>
      <c r="Q6" s="390"/>
      <c r="R6" s="390"/>
      <c r="S6" s="130"/>
      <c r="T6" s="130"/>
    </row>
    <row r="7" spans="2:20" ht="13.5" thickBot="1">
      <c r="B7" s="111" t="s">
        <v>163</v>
      </c>
      <c r="C7" s="111"/>
      <c r="D7" s="113"/>
      <c r="E7" s="448" t="s">
        <v>164</v>
      </c>
      <c r="F7" s="113"/>
      <c r="G7" s="401"/>
      <c r="H7" s="129" t="s">
        <v>146</v>
      </c>
      <c r="I7" s="401"/>
      <c r="J7" s="401"/>
      <c r="K7" s="401"/>
      <c r="L7" s="449" t="s">
        <v>185</v>
      </c>
      <c r="M7" s="410"/>
      <c r="N7" s="407"/>
      <c r="O7" s="373" t="s">
        <v>581</v>
      </c>
      <c r="P7" s="410"/>
      <c r="Q7" s="390"/>
      <c r="R7" s="592"/>
      <c r="S7" s="16"/>
      <c r="T7" s="130"/>
    </row>
    <row r="8" spans="2:20" ht="13.5" thickBot="1">
      <c r="B8" s="351" t="s">
        <v>162</v>
      </c>
      <c r="C8" s="381" t="s">
        <v>0</v>
      </c>
      <c r="D8" s="390"/>
      <c r="E8" s="381" t="s">
        <v>162</v>
      </c>
      <c r="F8" s="371" t="s">
        <v>0</v>
      </c>
      <c r="G8" s="390"/>
      <c r="I8" s="477" t="s">
        <v>179</v>
      </c>
      <c r="J8" s="403" t="s">
        <v>180</v>
      </c>
      <c r="K8" s="404"/>
      <c r="L8" s="410"/>
      <c r="M8" s="450"/>
      <c r="N8" s="403"/>
      <c r="O8" s="451"/>
      <c r="P8" s="495" t="s">
        <v>179</v>
      </c>
      <c r="Q8" s="390"/>
      <c r="S8" s="16"/>
      <c r="T8" s="130"/>
    </row>
    <row r="9" spans="2:20" ht="13.5" thickBot="1">
      <c r="B9" s="349">
        <v>10</v>
      </c>
      <c r="C9" s="439">
        <f>$C$22</f>
        <v>0.5555555555555556</v>
      </c>
      <c r="D9" s="390"/>
      <c r="E9" s="349">
        <v>10</v>
      </c>
      <c r="F9" s="439">
        <f>$F$22</f>
        <v>0.6851851851851851</v>
      </c>
      <c r="G9" s="390"/>
      <c r="H9" s="420" t="s">
        <v>61</v>
      </c>
      <c r="I9" s="427" t="s">
        <v>0</v>
      </c>
      <c r="J9" s="427" t="s">
        <v>0</v>
      </c>
      <c r="L9" s="381" t="s">
        <v>61</v>
      </c>
      <c r="M9" s="348" t="s">
        <v>0</v>
      </c>
      <c r="N9" s="412"/>
      <c r="O9" s="452" t="s">
        <v>61</v>
      </c>
      <c r="P9" s="478" t="s">
        <v>0</v>
      </c>
      <c r="Q9" s="401"/>
      <c r="R9" s="687"/>
      <c r="S9" s="59"/>
      <c r="T9" s="130"/>
    </row>
    <row r="10" spans="2:20" ht="13.5" thickBot="1">
      <c r="B10" s="349">
        <v>9</v>
      </c>
      <c r="C10" s="439">
        <f aca="true" t="shared" si="0" ref="C10:C18">$C$22</f>
        <v>0.5555555555555556</v>
      </c>
      <c r="D10" s="390"/>
      <c r="E10" s="349">
        <v>9</v>
      </c>
      <c r="F10" s="439">
        <f aca="true" t="shared" si="1" ref="F10:F18">$F$22</f>
        <v>0.6851851851851851</v>
      </c>
      <c r="G10" s="390"/>
      <c r="H10" s="478">
        <v>10</v>
      </c>
      <c r="I10" s="443">
        <v>2.96</v>
      </c>
      <c r="J10" s="443">
        <v>2.96</v>
      </c>
      <c r="L10" s="442">
        <v>10</v>
      </c>
      <c r="M10" s="443">
        <v>3.32</v>
      </c>
      <c r="N10" s="453"/>
      <c r="O10" s="452">
        <v>10</v>
      </c>
      <c r="P10" s="497">
        <v>2.96</v>
      </c>
      <c r="Q10" s="415"/>
      <c r="R10" s="688"/>
      <c r="S10" s="31"/>
      <c r="T10" s="130"/>
    </row>
    <row r="11" spans="2:20" ht="13.5" thickBot="1">
      <c r="B11" s="349">
        <v>8</v>
      </c>
      <c r="C11" s="439">
        <f t="shared" si="0"/>
        <v>0.5555555555555556</v>
      </c>
      <c r="D11" s="390"/>
      <c r="E11" s="349">
        <v>8</v>
      </c>
      <c r="F11" s="439">
        <f t="shared" si="1"/>
        <v>0.6851851851851851</v>
      </c>
      <c r="G11" s="390"/>
      <c r="H11" s="408">
        <v>9</v>
      </c>
      <c r="I11" s="443">
        <v>2.5</v>
      </c>
      <c r="J11" s="443">
        <v>2.5</v>
      </c>
      <c r="L11" s="442">
        <v>9</v>
      </c>
      <c r="M11" s="443">
        <v>3.26</v>
      </c>
      <c r="N11" s="454"/>
      <c r="O11" s="425">
        <v>9</v>
      </c>
      <c r="P11" s="497">
        <v>2.5</v>
      </c>
      <c r="Q11" s="415"/>
      <c r="R11" s="688"/>
      <c r="S11" s="31"/>
      <c r="T11" s="130"/>
    </row>
    <row r="12" spans="2:20" ht="13.5" thickBot="1">
      <c r="B12" s="349">
        <v>7</v>
      </c>
      <c r="C12" s="439">
        <f t="shared" si="0"/>
        <v>0.5555555555555556</v>
      </c>
      <c r="D12" s="390"/>
      <c r="E12" s="349">
        <v>7</v>
      </c>
      <c r="F12" s="439">
        <f t="shared" si="1"/>
        <v>0.6851851851851851</v>
      </c>
      <c r="G12" s="405"/>
      <c r="H12" s="408">
        <v>8</v>
      </c>
      <c r="I12" s="443">
        <v>1.94</v>
      </c>
      <c r="J12" s="443">
        <v>1.94</v>
      </c>
      <c r="L12" s="442">
        <v>8</v>
      </c>
      <c r="M12" s="443">
        <v>3.12</v>
      </c>
      <c r="N12" s="454"/>
      <c r="O12" s="425">
        <v>8</v>
      </c>
      <c r="P12" s="497">
        <v>2.08</v>
      </c>
      <c r="Q12" s="415"/>
      <c r="R12" s="688"/>
      <c r="S12" s="31"/>
      <c r="T12" s="130"/>
    </row>
    <row r="13" spans="2:20" ht="13.5" thickBot="1">
      <c r="B13" s="349">
        <v>6</v>
      </c>
      <c r="C13" s="439">
        <f t="shared" si="0"/>
        <v>0.5555555555555556</v>
      </c>
      <c r="D13" s="390"/>
      <c r="E13" s="349">
        <v>6</v>
      </c>
      <c r="F13" s="439">
        <f t="shared" si="1"/>
        <v>0.6851851851851851</v>
      </c>
      <c r="G13" s="415"/>
      <c r="H13" s="408">
        <v>7</v>
      </c>
      <c r="I13" s="443">
        <v>1.39</v>
      </c>
      <c r="J13" s="443">
        <v>1.39</v>
      </c>
      <c r="L13" s="442">
        <v>7</v>
      </c>
      <c r="M13" s="443">
        <v>2.89</v>
      </c>
      <c r="N13" s="454"/>
      <c r="O13" s="425">
        <v>7</v>
      </c>
      <c r="P13" s="497">
        <v>1.53</v>
      </c>
      <c r="Q13" s="415"/>
      <c r="R13" s="688"/>
      <c r="S13" s="31"/>
      <c r="T13" s="130"/>
    </row>
    <row r="14" spans="2:20" ht="13.5" thickBot="1">
      <c r="B14" s="349">
        <v>5</v>
      </c>
      <c r="C14" s="439">
        <f t="shared" si="0"/>
        <v>0.5555555555555556</v>
      </c>
      <c r="D14" s="390"/>
      <c r="E14" s="349">
        <v>5</v>
      </c>
      <c r="F14" s="439">
        <f t="shared" si="1"/>
        <v>0.6851851851851851</v>
      </c>
      <c r="G14" s="415"/>
      <c r="H14" s="408">
        <v>6</v>
      </c>
      <c r="I14" s="443">
        <v>0.83</v>
      </c>
      <c r="J14" s="443">
        <v>0.83</v>
      </c>
      <c r="L14" s="442">
        <v>6</v>
      </c>
      <c r="M14" s="443">
        <v>2.56</v>
      </c>
      <c r="N14" s="454"/>
      <c r="O14" s="425">
        <v>6</v>
      </c>
      <c r="P14" s="497">
        <v>1.06</v>
      </c>
      <c r="Q14" s="415"/>
      <c r="R14" s="688"/>
      <c r="S14" s="31"/>
      <c r="T14" s="130"/>
    </row>
    <row r="15" spans="2:20" ht="13.5" thickBot="1">
      <c r="B15" s="349">
        <v>4</v>
      </c>
      <c r="C15" s="439">
        <f t="shared" si="0"/>
        <v>0.5555555555555556</v>
      </c>
      <c r="D15" s="390"/>
      <c r="E15" s="349">
        <v>4</v>
      </c>
      <c r="F15" s="439">
        <f t="shared" si="1"/>
        <v>0.6851851851851851</v>
      </c>
      <c r="G15" s="415"/>
      <c r="H15" s="408">
        <v>5</v>
      </c>
      <c r="I15" s="443">
        <v>0.37</v>
      </c>
      <c r="J15" s="443">
        <v>0.37</v>
      </c>
      <c r="L15" s="442">
        <v>5</v>
      </c>
      <c r="M15" s="443">
        <v>2.15</v>
      </c>
      <c r="N15" s="454"/>
      <c r="O15" s="425">
        <v>5</v>
      </c>
      <c r="P15" s="497">
        <v>0.62</v>
      </c>
      <c r="Q15" s="415"/>
      <c r="R15" s="688"/>
      <c r="S15" s="31"/>
      <c r="T15" s="130"/>
    </row>
    <row r="16" spans="2:20" ht="13.5" thickBot="1">
      <c r="B16" s="349">
        <v>3</v>
      </c>
      <c r="C16" s="439">
        <f t="shared" si="0"/>
        <v>0.5555555555555556</v>
      </c>
      <c r="D16" s="390"/>
      <c r="E16" s="349">
        <v>3</v>
      </c>
      <c r="F16" s="439">
        <f t="shared" si="1"/>
        <v>0.6851851851851851</v>
      </c>
      <c r="G16" s="415"/>
      <c r="H16" s="408">
        <v>4</v>
      </c>
      <c r="I16" s="445">
        <v>0.09</v>
      </c>
      <c r="J16" s="445">
        <v>0.09</v>
      </c>
      <c r="L16" s="442">
        <v>4</v>
      </c>
      <c r="M16" s="443">
        <v>1.67</v>
      </c>
      <c r="N16" s="454"/>
      <c r="O16" s="425">
        <v>4</v>
      </c>
      <c r="P16" s="497">
        <v>0.43</v>
      </c>
      <c r="Q16" s="415"/>
      <c r="R16" s="689"/>
      <c r="S16" s="31"/>
      <c r="T16" s="130"/>
    </row>
    <row r="17" spans="2:20" ht="13.5" thickBot="1">
      <c r="B17" s="349">
        <v>2</v>
      </c>
      <c r="C17" s="439">
        <f t="shared" si="0"/>
        <v>0.5555555555555556</v>
      </c>
      <c r="D17" s="390"/>
      <c r="E17" s="349">
        <v>2</v>
      </c>
      <c r="F17" s="439">
        <f t="shared" si="1"/>
        <v>0.6851851851851851</v>
      </c>
      <c r="G17" s="415"/>
      <c r="H17" s="438">
        <v>3</v>
      </c>
      <c r="I17" s="455">
        <v>0</v>
      </c>
      <c r="J17" s="456">
        <v>0</v>
      </c>
      <c r="L17" s="442">
        <v>3</v>
      </c>
      <c r="M17" s="443">
        <v>1.19</v>
      </c>
      <c r="N17" s="454"/>
      <c r="O17" s="425">
        <v>3</v>
      </c>
      <c r="P17" s="497">
        <v>0.28</v>
      </c>
      <c r="Q17" s="415"/>
      <c r="S17" s="130"/>
      <c r="T17" s="130"/>
    </row>
    <row r="18" spans="2:20" ht="13.5" thickBot="1">
      <c r="B18" s="349">
        <v>1</v>
      </c>
      <c r="C18" s="439">
        <f t="shared" si="0"/>
        <v>0.5555555555555556</v>
      </c>
      <c r="D18" s="390"/>
      <c r="E18" s="349">
        <v>1</v>
      </c>
      <c r="F18" s="439">
        <f t="shared" si="1"/>
        <v>0.6851851851851851</v>
      </c>
      <c r="G18" s="415"/>
      <c r="H18" s="113"/>
      <c r="I18" s="401"/>
      <c r="J18" s="407"/>
      <c r="L18" s="442">
        <v>2</v>
      </c>
      <c r="M18" s="443">
        <v>0.77</v>
      </c>
      <c r="N18" s="415"/>
      <c r="P18" s="401"/>
      <c r="Q18" s="415"/>
      <c r="S18" s="130"/>
      <c r="T18" s="130"/>
    </row>
    <row r="19" spans="4:20" ht="12.75">
      <c r="D19" s="390"/>
      <c r="G19" s="415"/>
      <c r="H19" s="448"/>
      <c r="I19" s="447"/>
      <c r="J19" s="390"/>
      <c r="K19" s="390"/>
      <c r="L19" s="442">
        <v>1</v>
      </c>
      <c r="M19" s="443">
        <v>0.45</v>
      </c>
      <c r="N19" s="415"/>
      <c r="P19" s="401"/>
      <c r="Q19" s="415"/>
      <c r="S19" s="130"/>
      <c r="T19" s="130"/>
    </row>
    <row r="20" spans="2:20" ht="13.5" thickBot="1">
      <c r="B20" s="111" t="s">
        <v>163</v>
      </c>
      <c r="C20" s="111"/>
      <c r="D20" s="390"/>
      <c r="E20" s="448" t="s">
        <v>164</v>
      </c>
      <c r="F20" s="113"/>
      <c r="G20" s="415"/>
      <c r="H20" s="390"/>
      <c r="I20" s="390"/>
      <c r="J20" s="457"/>
      <c r="K20" s="403"/>
      <c r="L20" s="444">
        <v>0</v>
      </c>
      <c r="M20" s="445">
        <v>0.22</v>
      </c>
      <c r="S20" s="130"/>
      <c r="T20" s="130"/>
    </row>
    <row r="21" spans="2:20" ht="13.5" thickBot="1">
      <c r="B21" s="351" t="s">
        <v>162</v>
      </c>
      <c r="C21" s="381" t="s">
        <v>0</v>
      </c>
      <c r="D21" s="390"/>
      <c r="E21" s="381" t="s">
        <v>162</v>
      </c>
      <c r="F21" s="371" t="s">
        <v>0</v>
      </c>
      <c r="G21" s="415"/>
      <c r="H21" s="401"/>
      <c r="I21" s="401"/>
      <c r="J21" s="401"/>
      <c r="K21" s="401"/>
      <c r="L21" s="401"/>
      <c r="M21" s="390"/>
      <c r="S21" s="130"/>
      <c r="T21" s="130"/>
    </row>
    <row r="22" spans="2:20" ht="13.5" thickBot="1">
      <c r="B22" s="349" t="s">
        <v>154</v>
      </c>
      <c r="C22" s="439">
        <v>0.5555555555555556</v>
      </c>
      <c r="D22" s="390"/>
      <c r="E22" s="349">
        <v>10</v>
      </c>
      <c r="F22" s="439">
        <v>0.6851851851851851</v>
      </c>
      <c r="G22" s="415"/>
      <c r="H22" s="403"/>
      <c r="I22" s="404"/>
      <c r="J22" s="458"/>
      <c r="K22" s="458"/>
      <c r="L22" s="129"/>
      <c r="S22" s="130"/>
      <c r="T22" s="130"/>
    </row>
    <row r="23" spans="4:20" ht="13.5" thickBot="1">
      <c r="D23" s="390"/>
      <c r="G23" s="415"/>
      <c r="H23" s="403"/>
      <c r="I23" s="404"/>
      <c r="J23" s="458"/>
      <c r="K23" s="458"/>
      <c r="S23" s="130"/>
      <c r="T23" s="130"/>
    </row>
    <row r="24" spans="4:20" ht="13.5" thickBot="1">
      <c r="D24" s="390"/>
      <c r="G24" s="401"/>
      <c r="H24" s="403"/>
      <c r="I24" s="404"/>
      <c r="J24" s="458"/>
      <c r="K24" s="458"/>
      <c r="L24" s="347"/>
      <c r="M24" s="348"/>
      <c r="S24" s="130"/>
      <c r="T24" s="130"/>
    </row>
    <row r="25" spans="4:21" ht="13.5" thickBot="1">
      <c r="D25" s="390"/>
      <c r="G25" s="415"/>
      <c r="H25" s="733"/>
      <c r="I25" s="734"/>
      <c r="J25" s="459"/>
      <c r="L25" s="349"/>
      <c r="M25" s="350"/>
      <c r="S25" s="130"/>
      <c r="T25" s="130"/>
      <c r="U25" s="1"/>
    </row>
    <row r="26" spans="4:20" ht="12.75">
      <c r="D26" s="390"/>
      <c r="G26" s="415"/>
      <c r="S26" s="130"/>
      <c r="T26" s="130"/>
    </row>
    <row r="27" spans="19:20" ht="13.5" thickBot="1">
      <c r="S27" s="130"/>
      <c r="T27" s="130"/>
    </row>
    <row r="28" spans="1:20" ht="16.5" thickBot="1">
      <c r="A28" s="391"/>
      <c r="B28" s="416" t="s">
        <v>11</v>
      </c>
      <c r="C28" s="417" t="s">
        <v>17</v>
      </c>
      <c r="D28" s="418"/>
      <c r="E28" s="418"/>
      <c r="F28" s="418"/>
      <c r="G28" s="418"/>
      <c r="H28" s="419"/>
      <c r="J28" s="738" t="s">
        <v>167</v>
      </c>
      <c r="K28" s="732"/>
      <c r="L28" s="735" t="s">
        <v>117</v>
      </c>
      <c r="M28" s="736"/>
      <c r="N28" s="737"/>
      <c r="O28" s="381" t="s">
        <v>171</v>
      </c>
      <c r="P28" s="739" t="s">
        <v>174</v>
      </c>
      <c r="Q28" s="732"/>
      <c r="S28" s="130"/>
      <c r="T28" s="130"/>
    </row>
    <row r="29" spans="1:20" ht="13.5" thickBot="1">
      <c r="A29" s="389"/>
      <c r="B29" s="398"/>
      <c r="C29" s="398"/>
      <c r="D29" s="398"/>
      <c r="E29" s="398"/>
      <c r="F29" s="398"/>
      <c r="G29" s="398"/>
      <c r="H29" s="398"/>
      <c r="I29" s="420" t="s">
        <v>166</v>
      </c>
      <c r="J29" s="351" t="s">
        <v>168</v>
      </c>
      <c r="K29" s="460" t="s">
        <v>121</v>
      </c>
      <c r="L29" s="463" t="s">
        <v>118</v>
      </c>
      <c r="M29" s="429" t="s">
        <v>170</v>
      </c>
      <c r="N29" s="457" t="s">
        <v>116</v>
      </c>
      <c r="O29" s="429" t="s">
        <v>175</v>
      </c>
      <c r="P29" s="499" t="s">
        <v>176</v>
      </c>
      <c r="Q29" s="500" t="s">
        <v>175</v>
      </c>
      <c r="S29" s="130"/>
      <c r="T29" s="130"/>
    </row>
    <row r="30" spans="1:20" ht="13.5" thickBot="1">
      <c r="A30" s="392"/>
      <c r="B30" s="421" t="s">
        <v>12</v>
      </c>
      <c r="C30" s="422"/>
      <c r="D30" s="422"/>
      <c r="E30" s="422"/>
      <c r="F30" s="422"/>
      <c r="G30" s="422"/>
      <c r="H30" s="423"/>
      <c r="I30" s="350">
        <f>SUM(I31:I76)</f>
        <v>0</v>
      </c>
      <c r="J30" s="350"/>
      <c r="K30" s="350">
        <f>SUM(K31:K76)</f>
        <v>0</v>
      </c>
      <c r="L30" s="459"/>
      <c r="M30" s="459"/>
      <c r="N30" s="466">
        <f>SUM(N31:N76)</f>
        <v>0</v>
      </c>
      <c r="O30" s="466">
        <f>SUM(O31:O76)</f>
        <v>0</v>
      </c>
      <c r="P30" s="501"/>
      <c r="Q30" s="501">
        <f>SUM(Q31:Q76)</f>
        <v>0</v>
      </c>
      <c r="S30" s="130"/>
      <c r="T30" s="130"/>
    </row>
    <row r="31" spans="1:20" ht="15.75">
      <c r="A31" s="393">
        <v>1</v>
      </c>
      <c r="B31" s="426" t="s">
        <v>248</v>
      </c>
      <c r="C31" s="390"/>
      <c r="D31" s="390"/>
      <c r="I31" s="425"/>
      <c r="J31" s="425"/>
      <c r="K31" s="425"/>
      <c r="L31" s="467"/>
      <c r="M31" s="467"/>
      <c r="N31" s="468"/>
      <c r="O31" s="469"/>
      <c r="P31" s="482"/>
      <c r="Q31" s="483"/>
      <c r="S31" s="130"/>
      <c r="T31" s="130"/>
    </row>
    <row r="32" spans="1:20" ht="15.75">
      <c r="A32" s="393"/>
      <c r="B32" s="426"/>
      <c r="C32" s="390" t="s">
        <v>495</v>
      </c>
      <c r="D32" s="390"/>
      <c r="I32" s="425">
        <f>'CUARTEL GENERAL'!E5+'CUARTEL GENERAL'!E6</f>
        <v>0</v>
      </c>
      <c r="J32" s="425">
        <f>4+'CUARTEL GENERAL'!E6</f>
        <v>4</v>
      </c>
      <c r="K32" s="425">
        <f>(J32*(I32))</f>
        <v>0</v>
      </c>
      <c r="L32" s="467">
        <f>I14</f>
        <v>0.83</v>
      </c>
      <c r="M32" s="467">
        <f>C14</f>
        <v>0.5555555555555556</v>
      </c>
      <c r="N32" s="468">
        <f>K32*L32*M32</f>
        <v>0</v>
      </c>
      <c r="O32" s="470">
        <f>N32</f>
        <v>0</v>
      </c>
      <c r="P32" s="482">
        <v>5</v>
      </c>
      <c r="Q32" s="484">
        <f>P32*K32</f>
        <v>0</v>
      </c>
      <c r="S32" s="130"/>
      <c r="T32" s="130"/>
    </row>
    <row r="33" spans="1:20" ht="15.75">
      <c r="A33" s="393"/>
      <c r="B33" s="426"/>
      <c r="C33" s="390" t="s">
        <v>493</v>
      </c>
      <c r="D33" s="390"/>
      <c r="I33" s="425"/>
      <c r="J33" s="425">
        <v>1</v>
      </c>
      <c r="K33" s="425">
        <f>J33*(I32)</f>
        <v>0</v>
      </c>
      <c r="L33" s="467">
        <f>L32</f>
        <v>0.83</v>
      </c>
      <c r="M33" s="467">
        <f>F14</f>
        <v>0.6851851851851851</v>
      </c>
      <c r="N33" s="468">
        <f>K33*L33*M33</f>
        <v>0</v>
      </c>
      <c r="O33" s="470">
        <f>N33</f>
        <v>0</v>
      </c>
      <c r="P33" s="482">
        <v>5</v>
      </c>
      <c r="Q33" s="484">
        <f>P33*K33</f>
        <v>0</v>
      </c>
      <c r="S33" s="130"/>
      <c r="T33" s="130"/>
    </row>
    <row r="34" spans="1:20" ht="15.75">
      <c r="A34" s="393">
        <v>2</v>
      </c>
      <c r="B34" s="426" t="s">
        <v>249</v>
      </c>
      <c r="C34" s="390"/>
      <c r="D34" s="390"/>
      <c r="I34" s="425"/>
      <c r="J34" s="425"/>
      <c r="K34" s="425"/>
      <c r="L34" s="467"/>
      <c r="M34" s="467"/>
      <c r="N34" s="468"/>
      <c r="O34" s="470"/>
      <c r="P34" s="482"/>
      <c r="Q34" s="484"/>
      <c r="S34" s="130"/>
      <c r="T34" s="130"/>
    </row>
    <row r="35" spans="1:20" ht="15.75">
      <c r="A35" s="393"/>
      <c r="B35" s="426"/>
      <c r="C35" s="390" t="s">
        <v>494</v>
      </c>
      <c r="D35" s="390"/>
      <c r="I35" s="425">
        <f>'CUARTEL GENERAL'!E22+'CUARTEL GENERAL'!E23+'CUARTEL GENERAL'!K75</f>
        <v>0</v>
      </c>
      <c r="J35" s="425">
        <f>3+'CUARTEL GENERAL'!E23</f>
        <v>3</v>
      </c>
      <c r="K35" s="425">
        <f>J35*(I35)</f>
        <v>0</v>
      </c>
      <c r="L35" s="467">
        <f>I16</f>
        <v>0.09</v>
      </c>
      <c r="M35" s="467">
        <f>C14</f>
        <v>0.5555555555555556</v>
      </c>
      <c r="N35" s="468">
        <f>K35*L35*M35</f>
        <v>0</v>
      </c>
      <c r="O35" s="470">
        <f>N35</f>
        <v>0</v>
      </c>
      <c r="P35" s="482">
        <v>5</v>
      </c>
      <c r="Q35" s="484">
        <f>P35*K35</f>
        <v>0</v>
      </c>
      <c r="S35" s="130"/>
      <c r="T35" s="130"/>
    </row>
    <row r="36" spans="1:20" ht="15.75">
      <c r="A36" s="393"/>
      <c r="B36" s="426"/>
      <c r="C36" s="390"/>
      <c r="D36" s="390"/>
      <c r="I36" s="425"/>
      <c r="J36" s="425">
        <v>1</v>
      </c>
      <c r="K36" s="425">
        <f>J36*(I35)</f>
        <v>0</v>
      </c>
      <c r="L36" s="467">
        <f>L35</f>
        <v>0.09</v>
      </c>
      <c r="M36" s="467">
        <f>F14</f>
        <v>0.6851851851851851</v>
      </c>
      <c r="N36" s="468">
        <f>K36*L36*M36</f>
        <v>0</v>
      </c>
      <c r="O36" s="470">
        <f>N36</f>
        <v>0</v>
      </c>
      <c r="P36" s="482">
        <v>5</v>
      </c>
      <c r="Q36" s="484">
        <f>P36*K36</f>
        <v>0</v>
      </c>
      <c r="S36" s="130"/>
      <c r="T36" s="130"/>
    </row>
    <row r="37" spans="1:20" ht="15.75">
      <c r="A37" s="393">
        <v>3</v>
      </c>
      <c r="B37" s="426" t="s">
        <v>250</v>
      </c>
      <c r="C37" s="390"/>
      <c r="D37" s="390"/>
      <c r="I37" s="425"/>
      <c r="J37" s="425"/>
      <c r="K37" s="425"/>
      <c r="L37" s="467"/>
      <c r="M37" s="467"/>
      <c r="N37" s="468"/>
      <c r="O37" s="470"/>
      <c r="P37" s="482"/>
      <c r="Q37" s="484"/>
      <c r="S37" s="130"/>
      <c r="T37" s="130"/>
    </row>
    <row r="38" spans="1:20" ht="15.75">
      <c r="A38" s="393"/>
      <c r="B38" s="426"/>
      <c r="C38" s="390" t="s">
        <v>500</v>
      </c>
      <c r="D38" s="390"/>
      <c r="I38" s="425">
        <f>'CUARTEL GENERAL'!E12</f>
        <v>0</v>
      </c>
      <c r="J38" s="425">
        <f>2+'CUARTEL GENERAL'!E13</f>
        <v>2</v>
      </c>
      <c r="K38" s="425">
        <f>J38*(I38)</f>
        <v>0</v>
      </c>
      <c r="L38" s="467">
        <f>I16</f>
        <v>0.09</v>
      </c>
      <c r="M38" s="467">
        <f>C14</f>
        <v>0.5555555555555556</v>
      </c>
      <c r="N38" s="468">
        <f>K38*L38*M38</f>
        <v>0</v>
      </c>
      <c r="O38" s="470">
        <f>N38</f>
        <v>0</v>
      </c>
      <c r="P38" s="482">
        <v>5</v>
      </c>
      <c r="Q38" s="484">
        <f>P38*K38</f>
        <v>0</v>
      </c>
      <c r="S38" s="130"/>
      <c r="T38" s="130"/>
    </row>
    <row r="39" spans="1:20" ht="15.75">
      <c r="A39" s="393"/>
      <c r="B39" s="426"/>
      <c r="C39" s="390" t="s">
        <v>501</v>
      </c>
      <c r="D39" s="390"/>
      <c r="I39" s="425"/>
      <c r="J39" s="425">
        <v>1</v>
      </c>
      <c r="K39" s="425">
        <f>J39*(I38)</f>
        <v>0</v>
      </c>
      <c r="L39" s="467">
        <f>L38</f>
        <v>0.09</v>
      </c>
      <c r="M39" s="467">
        <f>F14</f>
        <v>0.6851851851851851</v>
      </c>
      <c r="N39" s="468">
        <f>K39*L39*M39</f>
        <v>0</v>
      </c>
      <c r="O39" s="470"/>
      <c r="P39" s="482"/>
      <c r="Q39" s="484"/>
      <c r="S39" s="130"/>
      <c r="T39" s="130"/>
    </row>
    <row r="40" spans="1:20" ht="15.75">
      <c r="A40" s="393"/>
      <c r="B40" s="426"/>
      <c r="C40" s="390" t="s">
        <v>490</v>
      </c>
      <c r="D40" s="390"/>
      <c r="I40" s="425">
        <f>'CUARTEL GENERAL'!E11</f>
        <v>0</v>
      </c>
      <c r="J40" s="425">
        <f>4+'CUARTEL GENERAL'!E13</f>
        <v>4</v>
      </c>
      <c r="K40" s="425">
        <f>J40*(I40)</f>
        <v>0</v>
      </c>
      <c r="L40" s="467">
        <f>J16</f>
        <v>0.09</v>
      </c>
      <c r="M40" s="467">
        <f>C14</f>
        <v>0.5555555555555556</v>
      </c>
      <c r="N40" s="468">
        <f>K40*L40*M40</f>
        <v>0</v>
      </c>
      <c r="O40" s="470">
        <f>N40</f>
        <v>0</v>
      </c>
      <c r="P40" s="482">
        <v>5</v>
      </c>
      <c r="Q40" s="484">
        <f>P40*K40</f>
        <v>0</v>
      </c>
      <c r="S40" s="130"/>
      <c r="T40" s="130"/>
    </row>
    <row r="41" spans="1:20" ht="15.75">
      <c r="A41" s="393"/>
      <c r="B41" s="426"/>
      <c r="C41" s="390" t="s">
        <v>169</v>
      </c>
      <c r="D41" s="390"/>
      <c r="I41" s="425">
        <f>'CUARTEL GENERAL'!E10</f>
        <v>0</v>
      </c>
      <c r="J41" s="425">
        <f>3+'CUARTEL GENERAL'!E13</f>
        <v>3</v>
      </c>
      <c r="K41" s="425">
        <f>J41*(I41)</f>
        <v>0</v>
      </c>
      <c r="L41" s="467">
        <f>I12</f>
        <v>1.94</v>
      </c>
      <c r="M41" s="467">
        <f>C14</f>
        <v>0.5555555555555556</v>
      </c>
      <c r="N41" s="468">
        <f>K41*L41*M41</f>
        <v>0</v>
      </c>
      <c r="O41" s="470">
        <f>N41</f>
        <v>0</v>
      </c>
      <c r="P41" s="482">
        <v>1</v>
      </c>
      <c r="Q41" s="484">
        <f>P41*K41</f>
        <v>0</v>
      </c>
      <c r="S41" s="130"/>
      <c r="T41" s="130"/>
    </row>
    <row r="42" spans="1:20" ht="15.75">
      <c r="A42" s="393">
        <v>4</v>
      </c>
      <c r="B42" s="426" t="s">
        <v>253</v>
      </c>
      <c r="C42" s="390"/>
      <c r="D42" s="390"/>
      <c r="I42" s="425"/>
      <c r="J42" s="425"/>
      <c r="K42" s="425"/>
      <c r="L42" s="467"/>
      <c r="M42" s="467"/>
      <c r="N42" s="468"/>
      <c r="O42" s="470"/>
      <c r="P42" s="482"/>
      <c r="Q42" s="484"/>
      <c r="S42" s="130"/>
      <c r="T42" s="130"/>
    </row>
    <row r="43" spans="1:20" ht="15.75">
      <c r="A43" s="393"/>
      <c r="B43" s="426"/>
      <c r="C43" s="390" t="s">
        <v>500</v>
      </c>
      <c r="D43" s="390"/>
      <c r="I43" s="425">
        <f>'CUARTEL GENERAL'!E17</f>
        <v>0</v>
      </c>
      <c r="J43" s="425">
        <f>3</f>
        <v>3</v>
      </c>
      <c r="K43" s="425">
        <f>J43*(I43)</f>
        <v>0</v>
      </c>
      <c r="L43" s="467">
        <f>I16</f>
        <v>0.09</v>
      </c>
      <c r="M43" s="467">
        <f>C14</f>
        <v>0.5555555555555556</v>
      </c>
      <c r="N43" s="468">
        <f>K43*L43*M43</f>
        <v>0</v>
      </c>
      <c r="O43" s="470">
        <f>N43</f>
        <v>0</v>
      </c>
      <c r="P43" s="482">
        <v>5</v>
      </c>
      <c r="Q43" s="484">
        <f>P43*K43</f>
        <v>0</v>
      </c>
      <c r="S43" s="130"/>
      <c r="T43" s="130"/>
    </row>
    <row r="44" spans="1:20" ht="15.75">
      <c r="A44" s="393"/>
      <c r="B44" s="426"/>
      <c r="C44" s="390" t="s">
        <v>501</v>
      </c>
      <c r="D44" s="390"/>
      <c r="I44" s="425"/>
      <c r="J44" s="425">
        <v>1</v>
      </c>
      <c r="K44" s="425">
        <f>J44*(I43)</f>
        <v>0</v>
      </c>
      <c r="L44" s="467">
        <f>L43</f>
        <v>0.09</v>
      </c>
      <c r="M44" s="467">
        <f>F14</f>
        <v>0.6851851851851851</v>
      </c>
      <c r="N44" s="468">
        <f>K44*L44*M44</f>
        <v>0</v>
      </c>
      <c r="O44" s="470">
        <f>N44</f>
        <v>0</v>
      </c>
      <c r="P44" s="482">
        <v>5</v>
      </c>
      <c r="Q44" s="484">
        <f>P44*K44</f>
        <v>0</v>
      </c>
      <c r="S44" s="130"/>
      <c r="T44" s="130"/>
    </row>
    <row r="45" spans="1:20" ht="15.75">
      <c r="A45" s="393">
        <v>5</v>
      </c>
      <c r="B45" s="426" t="s">
        <v>257</v>
      </c>
      <c r="C45" s="390"/>
      <c r="D45" s="390"/>
      <c r="I45" s="425"/>
      <c r="J45" s="425"/>
      <c r="K45" s="425"/>
      <c r="L45" s="467"/>
      <c r="M45" s="467"/>
      <c r="N45" s="468"/>
      <c r="O45" s="469"/>
      <c r="P45" s="482"/>
      <c r="Q45" s="484"/>
      <c r="S45" s="130"/>
      <c r="T45" s="130"/>
    </row>
    <row r="46" spans="1:20" ht="15.75">
      <c r="A46" s="393"/>
      <c r="B46" s="426"/>
      <c r="C46" s="390" t="s">
        <v>265</v>
      </c>
      <c r="D46" s="390"/>
      <c r="I46" s="425">
        <f>'CUARTEL GENERAL'!K27</f>
        <v>0</v>
      </c>
      <c r="J46" s="425">
        <f>4</f>
        <v>4</v>
      </c>
      <c r="K46" s="425">
        <f aca="true" t="shared" si="2" ref="K46:K57">J46*(I46)</f>
        <v>0</v>
      </c>
      <c r="L46" s="467">
        <f>I16</f>
        <v>0.09</v>
      </c>
      <c r="M46" s="467">
        <f>$C$14</f>
        <v>0.5555555555555556</v>
      </c>
      <c r="N46" s="468">
        <f aca="true" t="shared" si="3" ref="N46:N57">K46*L46*M46</f>
        <v>0</v>
      </c>
      <c r="O46" s="470"/>
      <c r="P46" s="482">
        <v>5</v>
      </c>
      <c r="Q46" s="484">
        <f aca="true" t="shared" si="4" ref="Q46:Q57">P46*K46</f>
        <v>0</v>
      </c>
      <c r="S46" s="130"/>
      <c r="T46" s="130"/>
    </row>
    <row r="47" spans="1:20" ht="15.75">
      <c r="A47" s="393"/>
      <c r="B47" s="426"/>
      <c r="C47" s="390" t="s">
        <v>492</v>
      </c>
      <c r="D47" s="390"/>
      <c r="I47" s="425">
        <f>'CUARTEL GENERAL'!K29+'CUARTEL GENERAL'!K73+'CUARTEL GENERAL'!K74+'CUARTEL GENERAL'!L75</f>
        <v>0</v>
      </c>
      <c r="J47" s="425">
        <f>4</f>
        <v>4</v>
      </c>
      <c r="K47" s="425">
        <f t="shared" si="2"/>
        <v>0</v>
      </c>
      <c r="L47" s="467">
        <f>L46</f>
        <v>0.09</v>
      </c>
      <c r="M47" s="467">
        <f>$C$14</f>
        <v>0.5555555555555556</v>
      </c>
      <c r="N47" s="468">
        <f t="shared" si="3"/>
        <v>0</v>
      </c>
      <c r="O47" s="470">
        <f aca="true" t="shared" si="5" ref="O47:O57">N47</f>
        <v>0</v>
      </c>
      <c r="P47" s="482">
        <v>5</v>
      </c>
      <c r="Q47" s="484">
        <f t="shared" si="4"/>
        <v>0</v>
      </c>
      <c r="S47" s="130"/>
      <c r="T47" s="130"/>
    </row>
    <row r="48" spans="1:20" ht="15.75">
      <c r="A48" s="393"/>
      <c r="B48" s="426"/>
      <c r="C48" s="390" t="s">
        <v>504</v>
      </c>
      <c r="D48" s="390"/>
      <c r="I48" s="425">
        <f>'CUARTEL GENERAL'!K31+'CUARTEL GENERAL'!K32</f>
        <v>0</v>
      </c>
      <c r="J48" s="425">
        <v>3</v>
      </c>
      <c r="K48" s="425">
        <f t="shared" si="2"/>
        <v>0</v>
      </c>
      <c r="L48" s="467">
        <f>L41</f>
        <v>1.94</v>
      </c>
      <c r="M48" s="467">
        <f>C14</f>
        <v>0.5555555555555556</v>
      </c>
      <c r="N48" s="468">
        <f t="shared" si="3"/>
        <v>0</v>
      </c>
      <c r="O48" s="470">
        <f t="shared" si="5"/>
        <v>0</v>
      </c>
      <c r="P48" s="482">
        <v>1</v>
      </c>
      <c r="Q48" s="484">
        <f t="shared" si="4"/>
        <v>0</v>
      </c>
      <c r="S48" s="130"/>
      <c r="T48" s="130"/>
    </row>
    <row r="49" spans="1:20" ht="15.75">
      <c r="A49" s="393"/>
      <c r="B49" s="426"/>
      <c r="C49" s="390" t="s">
        <v>491</v>
      </c>
      <c r="D49" s="390"/>
      <c r="I49" s="425">
        <f>'CUARTEL GENERAL'!K33</f>
        <v>0</v>
      </c>
      <c r="J49" s="425">
        <v>3</v>
      </c>
      <c r="K49" s="425">
        <f t="shared" si="2"/>
        <v>0</v>
      </c>
      <c r="L49" s="467">
        <f>L40</f>
        <v>0.09</v>
      </c>
      <c r="M49" s="467">
        <f>$C$14</f>
        <v>0.5555555555555556</v>
      </c>
      <c r="N49" s="468">
        <f t="shared" si="3"/>
        <v>0</v>
      </c>
      <c r="O49" s="470">
        <f t="shared" si="5"/>
        <v>0</v>
      </c>
      <c r="P49" s="482">
        <v>5</v>
      </c>
      <c r="Q49" s="484">
        <f t="shared" si="4"/>
        <v>0</v>
      </c>
      <c r="S49" s="130"/>
      <c r="T49" s="130"/>
    </row>
    <row r="50" spans="1:20" ht="15.75">
      <c r="A50" s="393"/>
      <c r="B50" s="426"/>
      <c r="C50" s="390" t="s">
        <v>490</v>
      </c>
      <c r="D50" s="390"/>
      <c r="I50" s="425">
        <f>'CUARTEL GENERAL'!K35</f>
        <v>0</v>
      </c>
      <c r="J50" s="425">
        <f>4</f>
        <v>4</v>
      </c>
      <c r="K50" s="425">
        <f t="shared" si="2"/>
        <v>0</v>
      </c>
      <c r="L50" s="467">
        <f>L40</f>
        <v>0.09</v>
      </c>
      <c r="M50" s="467">
        <f>$C$14</f>
        <v>0.5555555555555556</v>
      </c>
      <c r="N50" s="468">
        <f t="shared" si="3"/>
        <v>0</v>
      </c>
      <c r="O50" s="470">
        <f t="shared" si="5"/>
        <v>0</v>
      </c>
      <c r="P50" s="482">
        <v>5</v>
      </c>
      <c r="Q50" s="484">
        <f t="shared" si="4"/>
        <v>0</v>
      </c>
      <c r="S50" s="130"/>
      <c r="T50" s="130"/>
    </row>
    <row r="51" spans="1:20" ht="15.75">
      <c r="A51" s="393"/>
      <c r="B51" s="426"/>
      <c r="C51" s="390" t="s">
        <v>169</v>
      </c>
      <c r="D51" s="390"/>
      <c r="I51" s="425">
        <f>'CUARTEL GENERAL'!K37+'CUARTEL GENERAL'!K38</f>
        <v>0</v>
      </c>
      <c r="J51" s="425">
        <v>3</v>
      </c>
      <c r="K51" s="425">
        <f t="shared" si="2"/>
        <v>0</v>
      </c>
      <c r="L51" s="467">
        <f>L41</f>
        <v>1.94</v>
      </c>
      <c r="M51" s="467">
        <f>$C$14</f>
        <v>0.5555555555555556</v>
      </c>
      <c r="N51" s="468">
        <f t="shared" si="3"/>
        <v>0</v>
      </c>
      <c r="O51" s="470">
        <f t="shared" si="5"/>
        <v>0</v>
      </c>
      <c r="P51" s="482">
        <v>1</v>
      </c>
      <c r="Q51" s="484">
        <f t="shared" si="4"/>
        <v>0</v>
      </c>
      <c r="S51" s="130"/>
      <c r="T51" s="130"/>
    </row>
    <row r="52" spans="1:20" ht="15.75">
      <c r="A52" s="393"/>
      <c r="B52" s="426"/>
      <c r="C52" s="111" t="str">
        <f aca="true" t="shared" si="6" ref="C52:C57">C46</f>
        <v>Espada sierra</v>
      </c>
      <c r="D52" s="390"/>
      <c r="I52" s="425">
        <f>'CUARTEL GENERAL'!L27</f>
        <v>0</v>
      </c>
      <c r="J52" s="425">
        <v>5</v>
      </c>
      <c r="K52" s="425">
        <f t="shared" si="2"/>
        <v>0</v>
      </c>
      <c r="L52" s="467">
        <f aca="true" t="shared" si="7" ref="L52:M57">L46</f>
        <v>0.09</v>
      </c>
      <c r="M52" s="467">
        <f t="shared" si="7"/>
        <v>0.5555555555555556</v>
      </c>
      <c r="N52" s="468">
        <f t="shared" si="3"/>
        <v>0</v>
      </c>
      <c r="O52" s="470">
        <f t="shared" si="5"/>
        <v>0</v>
      </c>
      <c r="P52" s="482">
        <f aca="true" t="shared" si="8" ref="P52:P57">P46</f>
        <v>5</v>
      </c>
      <c r="Q52" s="484">
        <f t="shared" si="4"/>
        <v>0</v>
      </c>
      <c r="S52" s="130"/>
      <c r="T52" s="130"/>
    </row>
    <row r="53" spans="1:20" ht="15.75">
      <c r="A53" s="393"/>
      <c r="B53" s="426"/>
      <c r="C53" s="111" t="str">
        <f t="shared" si="6"/>
        <v>Arma de energía y pistola o arma cuerpo a cuerpo</v>
      </c>
      <c r="D53" s="390"/>
      <c r="I53" s="425">
        <f>'CUARTEL GENERAL'!L29+'CUARTEL GENERAL'!L73+'CUARTEL GENERAL'!L74</f>
        <v>0</v>
      </c>
      <c r="J53" s="425">
        <v>5</v>
      </c>
      <c r="K53" s="425">
        <f t="shared" si="2"/>
        <v>0</v>
      </c>
      <c r="L53" s="467">
        <f t="shared" si="7"/>
        <v>0.09</v>
      </c>
      <c r="M53" s="467">
        <f t="shared" si="7"/>
        <v>0.5555555555555556</v>
      </c>
      <c r="N53" s="468">
        <f t="shared" si="3"/>
        <v>0</v>
      </c>
      <c r="O53" s="470">
        <f t="shared" si="5"/>
        <v>0</v>
      </c>
      <c r="P53" s="482">
        <f t="shared" si="8"/>
        <v>5</v>
      </c>
      <c r="Q53" s="484">
        <f t="shared" si="4"/>
        <v>0</v>
      </c>
      <c r="S53" s="130"/>
      <c r="T53" s="130"/>
    </row>
    <row r="54" spans="1:20" ht="15.75">
      <c r="A54" s="393"/>
      <c r="B54" s="426"/>
      <c r="C54" s="111" t="str">
        <f t="shared" si="6"/>
        <v>Puño de combate </v>
      </c>
      <c r="D54" s="390"/>
      <c r="I54" s="425">
        <f>'CUARTEL GENERAL'!L31+'CUARTEL GENERAL'!L32</f>
        <v>0</v>
      </c>
      <c r="J54" s="425">
        <v>4</v>
      </c>
      <c r="K54" s="425">
        <f t="shared" si="2"/>
        <v>0</v>
      </c>
      <c r="L54" s="467">
        <f t="shared" si="7"/>
        <v>1.94</v>
      </c>
      <c r="M54" s="467">
        <f t="shared" si="7"/>
        <v>0.5555555555555556</v>
      </c>
      <c r="N54" s="468">
        <f t="shared" si="3"/>
        <v>0</v>
      </c>
      <c r="O54" s="470">
        <f t="shared" si="5"/>
        <v>0</v>
      </c>
      <c r="P54" s="482">
        <f t="shared" si="8"/>
        <v>1</v>
      </c>
      <c r="Q54" s="484">
        <f t="shared" si="4"/>
        <v>0</v>
      </c>
      <c r="S54" s="130"/>
      <c r="T54" s="130"/>
    </row>
    <row r="55" spans="1:20" ht="15.75">
      <c r="A55" s="393"/>
      <c r="B55" s="426"/>
      <c r="C55" s="111" t="str">
        <f t="shared" si="6"/>
        <v>Garra relámpago</v>
      </c>
      <c r="D55" s="390"/>
      <c r="I55" s="425">
        <f>'CUARTEL GENERAL'!L33</f>
        <v>0</v>
      </c>
      <c r="J55" s="425">
        <v>4</v>
      </c>
      <c r="K55" s="425">
        <f t="shared" si="2"/>
        <v>0</v>
      </c>
      <c r="L55" s="467">
        <f t="shared" si="7"/>
        <v>0.09</v>
      </c>
      <c r="M55" s="467">
        <f t="shared" si="7"/>
        <v>0.5555555555555556</v>
      </c>
      <c r="N55" s="468">
        <f t="shared" si="3"/>
        <v>0</v>
      </c>
      <c r="O55" s="470">
        <f t="shared" si="5"/>
        <v>0</v>
      </c>
      <c r="P55" s="482">
        <f t="shared" si="8"/>
        <v>5</v>
      </c>
      <c r="Q55" s="484">
        <f t="shared" si="4"/>
        <v>0</v>
      </c>
      <c r="S55" s="130"/>
      <c r="T55" s="130"/>
    </row>
    <row r="56" spans="1:20" ht="15.75">
      <c r="A56" s="393"/>
      <c r="B56" s="426"/>
      <c r="C56" s="111" t="str">
        <f t="shared" si="6"/>
        <v>Garras relámpago</v>
      </c>
      <c r="D56" s="390"/>
      <c r="I56" s="425">
        <f>'CUARTEL GENERAL'!L35</f>
        <v>0</v>
      </c>
      <c r="J56" s="425">
        <v>5</v>
      </c>
      <c r="K56" s="425">
        <f t="shared" si="2"/>
        <v>0</v>
      </c>
      <c r="L56" s="467">
        <f t="shared" si="7"/>
        <v>0.09</v>
      </c>
      <c r="M56" s="467">
        <f t="shared" si="7"/>
        <v>0.5555555555555556</v>
      </c>
      <c r="N56" s="468">
        <f t="shared" si="3"/>
        <v>0</v>
      </c>
      <c r="O56" s="470">
        <f t="shared" si="5"/>
        <v>0</v>
      </c>
      <c r="P56" s="482">
        <f t="shared" si="8"/>
        <v>5</v>
      </c>
      <c r="Q56" s="484">
        <f t="shared" si="4"/>
        <v>0</v>
      </c>
      <c r="S56" s="130"/>
      <c r="T56" s="130"/>
    </row>
    <row r="57" spans="1:20" ht="15.75">
      <c r="A57" s="393"/>
      <c r="B57" s="426"/>
      <c r="C57" s="111" t="str">
        <f t="shared" si="6"/>
        <v>Martillo del trueno</v>
      </c>
      <c r="D57" s="390"/>
      <c r="I57" s="425">
        <f>'CUARTEL GENERAL'!L37+'CUARTEL GENERAL'!L38</f>
        <v>0</v>
      </c>
      <c r="J57" s="425">
        <v>4</v>
      </c>
      <c r="K57" s="425">
        <f t="shared" si="2"/>
        <v>0</v>
      </c>
      <c r="L57" s="467">
        <f t="shared" si="7"/>
        <v>1.94</v>
      </c>
      <c r="M57" s="467">
        <f t="shared" si="7"/>
        <v>0.5555555555555556</v>
      </c>
      <c r="N57" s="468">
        <f t="shared" si="3"/>
        <v>0</v>
      </c>
      <c r="O57" s="470">
        <f t="shared" si="5"/>
        <v>0</v>
      </c>
      <c r="P57" s="482">
        <f t="shared" si="8"/>
        <v>1</v>
      </c>
      <c r="Q57" s="484">
        <f t="shared" si="4"/>
        <v>0</v>
      </c>
      <c r="S57" s="130"/>
      <c r="T57" s="130"/>
    </row>
    <row r="58" spans="1:20" ht="15.75">
      <c r="A58" s="393">
        <v>6</v>
      </c>
      <c r="B58" s="426" t="s">
        <v>513</v>
      </c>
      <c r="C58" s="390"/>
      <c r="D58" s="390"/>
      <c r="I58" s="425"/>
      <c r="J58" s="425"/>
      <c r="K58" s="425"/>
      <c r="L58" s="467"/>
      <c r="M58" s="467"/>
      <c r="N58" s="468"/>
      <c r="O58" s="470"/>
      <c r="P58" s="482"/>
      <c r="Q58" s="484"/>
      <c r="S58" s="130"/>
      <c r="T58" s="130"/>
    </row>
    <row r="59" spans="1:20" ht="15.75">
      <c r="A59" s="393"/>
      <c r="B59" s="426"/>
      <c r="C59" s="390" t="s">
        <v>502</v>
      </c>
      <c r="D59" s="390"/>
      <c r="I59" s="425">
        <f>'CUARTEL GENERAL'!K40+'CUARTEL GENERAL'!K57</f>
        <v>0</v>
      </c>
      <c r="J59" s="425">
        <f>4+'CUARTEL GENERAL'!E45</f>
        <v>4</v>
      </c>
      <c r="K59" s="425">
        <f>J59*(I59)</f>
        <v>0</v>
      </c>
      <c r="L59" s="467">
        <f>L35</f>
        <v>0.09</v>
      </c>
      <c r="M59" s="467">
        <f>C14</f>
        <v>0.5555555555555556</v>
      </c>
      <c r="N59" s="468">
        <f>K59*L59*M59</f>
        <v>0</v>
      </c>
      <c r="O59" s="470">
        <f>N59</f>
        <v>0</v>
      </c>
      <c r="P59" s="482">
        <v>5</v>
      </c>
      <c r="Q59" s="484">
        <f>P59*K59</f>
        <v>0</v>
      </c>
      <c r="S59" s="130"/>
      <c r="T59" s="130"/>
    </row>
    <row r="60" spans="1:20" ht="15.75">
      <c r="A60" s="393"/>
      <c r="B60" s="426"/>
      <c r="C60" s="390" t="s">
        <v>503</v>
      </c>
      <c r="D60" s="390"/>
      <c r="I60" s="425">
        <f>'CUARTEL GENERAL'!K42+'CUARTEL GENERAL'!K43+'CUARTEL GENERAL'!K59+'CUARTEL GENERAL'!K60</f>
        <v>0</v>
      </c>
      <c r="J60" s="425">
        <f>3+'CUARTEL GENERAL'!E45</f>
        <v>3</v>
      </c>
      <c r="K60" s="425">
        <f>J60*(I60)</f>
        <v>0</v>
      </c>
      <c r="L60" s="467">
        <f>L41</f>
        <v>1.94</v>
      </c>
      <c r="M60" s="467">
        <f>C14</f>
        <v>0.5555555555555556</v>
      </c>
      <c r="N60" s="468">
        <f>K60*L60*M60</f>
        <v>0</v>
      </c>
      <c r="O60" s="470">
        <f>N60</f>
        <v>0</v>
      </c>
      <c r="P60" s="482">
        <v>1</v>
      </c>
      <c r="Q60" s="484">
        <f>P60*K60</f>
        <v>0</v>
      </c>
      <c r="S60" s="130"/>
      <c r="T60" s="130"/>
    </row>
    <row r="61" spans="1:20" ht="15.75">
      <c r="A61" s="393"/>
      <c r="B61" s="426"/>
      <c r="C61" s="111" t="s">
        <v>502</v>
      </c>
      <c r="D61" s="390"/>
      <c r="I61" s="425">
        <f>'CUARTEL GENERAL'!L40+'CUARTEL GENERAL'!L57</f>
        <v>0</v>
      </c>
      <c r="J61" s="425">
        <v>5</v>
      </c>
      <c r="K61" s="425">
        <f>J61*(I61)</f>
        <v>0</v>
      </c>
      <c r="L61" s="467">
        <f>L59</f>
        <v>0.09</v>
      </c>
      <c r="M61" s="467">
        <f>M59</f>
        <v>0.5555555555555556</v>
      </c>
      <c r="N61" s="468">
        <f>K61*L61*M61</f>
        <v>0</v>
      </c>
      <c r="O61" s="470">
        <f>N61</f>
        <v>0</v>
      </c>
      <c r="P61" s="482">
        <v>5</v>
      </c>
      <c r="Q61" s="484">
        <f>P61*K61</f>
        <v>0</v>
      </c>
      <c r="S61" s="130"/>
      <c r="T61" s="130"/>
    </row>
    <row r="62" spans="1:20" ht="15.75">
      <c r="A62" s="393"/>
      <c r="B62" s="426"/>
      <c r="C62" s="111" t="s">
        <v>503</v>
      </c>
      <c r="D62" s="390"/>
      <c r="I62" s="425">
        <f>'CUARTEL GENERAL'!L42+'CUARTEL GENERAL'!L43+'CUARTEL GENERAL'!L59+'CUARTEL GENERAL'!L60</f>
        <v>0</v>
      </c>
      <c r="J62" s="425">
        <v>4</v>
      </c>
      <c r="K62" s="425">
        <f>J62*(I62)</f>
        <v>0</v>
      </c>
      <c r="L62" s="467">
        <f>L60</f>
        <v>1.94</v>
      </c>
      <c r="M62" s="467">
        <f>M60</f>
        <v>0.5555555555555556</v>
      </c>
      <c r="N62" s="468">
        <f>K62*L62*M62</f>
        <v>0</v>
      </c>
      <c r="O62" s="470">
        <f>N62</f>
        <v>0</v>
      </c>
      <c r="P62" s="482">
        <v>1</v>
      </c>
      <c r="Q62" s="484">
        <f>P62*K62</f>
        <v>0</v>
      </c>
      <c r="S62" s="130"/>
      <c r="T62" s="130"/>
    </row>
    <row r="63" spans="1:20" ht="15.75">
      <c r="A63" s="393">
        <v>7</v>
      </c>
      <c r="B63" s="426" t="s">
        <v>517</v>
      </c>
      <c r="C63" s="111"/>
      <c r="D63" s="390"/>
      <c r="I63" s="425"/>
      <c r="J63" s="425"/>
      <c r="K63" s="425"/>
      <c r="L63" s="467"/>
      <c r="M63" s="467"/>
      <c r="N63" s="468"/>
      <c r="O63" s="470"/>
      <c r="P63" s="482"/>
      <c r="Q63" s="484"/>
      <c r="S63" s="130"/>
      <c r="T63" s="130"/>
    </row>
    <row r="64" spans="1:20" ht="15.75">
      <c r="A64" s="393"/>
      <c r="B64" s="426"/>
      <c r="C64" s="111" t="s">
        <v>494</v>
      </c>
      <c r="D64" s="390"/>
      <c r="I64" s="425">
        <f>'CUARTEL GENERAL'!K75</f>
        <v>0</v>
      </c>
      <c r="J64" s="425">
        <v>3</v>
      </c>
      <c r="K64" s="425">
        <f>J64*(I64)</f>
        <v>0</v>
      </c>
      <c r="L64" s="467">
        <f>L35</f>
        <v>0.09</v>
      </c>
      <c r="M64" s="467">
        <f>C14</f>
        <v>0.5555555555555556</v>
      </c>
      <c r="N64" s="468">
        <f>K64*L64*M64</f>
        <v>0</v>
      </c>
      <c r="O64" s="470">
        <f>N64</f>
        <v>0</v>
      </c>
      <c r="P64" s="482">
        <v>5</v>
      </c>
      <c r="Q64" s="484">
        <f>P64*K64</f>
        <v>0</v>
      </c>
      <c r="S64" s="130"/>
      <c r="T64" s="130"/>
    </row>
    <row r="65" spans="1:20" ht="15.75">
      <c r="A65" s="393">
        <v>8</v>
      </c>
      <c r="B65" s="426" t="s">
        <v>527</v>
      </c>
      <c r="C65" s="111"/>
      <c r="D65" s="390"/>
      <c r="I65" s="425"/>
      <c r="J65" s="425"/>
      <c r="K65" s="425"/>
      <c r="L65" s="467"/>
      <c r="M65" s="467"/>
      <c r="N65" s="468"/>
      <c r="O65" s="470"/>
      <c r="P65" s="482"/>
      <c r="Q65" s="484"/>
      <c r="S65" s="130"/>
      <c r="T65" s="130"/>
    </row>
    <row r="66" spans="1:20" ht="15.75">
      <c r="A66" s="111"/>
      <c r="B66" s="426"/>
      <c r="C66" s="432" t="s">
        <v>300</v>
      </c>
      <c r="D66" s="390"/>
      <c r="I66" s="425">
        <f>'CUARTEL GENERAL'!K92</f>
        <v>0</v>
      </c>
      <c r="J66" s="425">
        <v>1</v>
      </c>
      <c r="K66" s="425">
        <f aca="true" t="shared" si="9" ref="K66:K75">J66*(I66)</f>
        <v>0</v>
      </c>
      <c r="L66" s="467">
        <f>$I$14</f>
        <v>0.83</v>
      </c>
      <c r="M66" s="467">
        <f>$C$22</f>
        <v>0.5555555555555556</v>
      </c>
      <c r="N66" s="468">
        <f aca="true" t="shared" si="10" ref="N66:N75">K66*L66*M66</f>
        <v>0</v>
      </c>
      <c r="O66" s="470"/>
      <c r="P66" s="482">
        <v>4</v>
      </c>
      <c r="Q66" s="484">
        <f aca="true" t="shared" si="11" ref="Q66:Q75">P66*K66</f>
        <v>0</v>
      </c>
      <c r="S66" s="130"/>
      <c r="T66" s="130"/>
    </row>
    <row r="67" spans="1:20" ht="15.75">
      <c r="A67" s="111"/>
      <c r="B67" s="426"/>
      <c r="C67" s="432" t="s">
        <v>528</v>
      </c>
      <c r="D67" s="390"/>
      <c r="I67" s="425">
        <f>'CUARTEL GENERAL'!K93</f>
        <v>0</v>
      </c>
      <c r="J67" s="425">
        <v>1</v>
      </c>
      <c r="K67" s="425">
        <f t="shared" si="9"/>
        <v>0</v>
      </c>
      <c r="L67" s="467">
        <f>$I$14</f>
        <v>0.83</v>
      </c>
      <c r="M67" s="467">
        <f>$C$22</f>
        <v>0.5555555555555556</v>
      </c>
      <c r="N67" s="468">
        <f t="shared" si="10"/>
        <v>0</v>
      </c>
      <c r="O67" s="470"/>
      <c r="P67" s="482">
        <v>4</v>
      </c>
      <c r="Q67" s="484">
        <f t="shared" si="11"/>
        <v>0</v>
      </c>
      <c r="S67" s="130"/>
      <c r="T67" s="130"/>
    </row>
    <row r="68" spans="1:20" ht="15.75">
      <c r="A68" s="111"/>
      <c r="B68" s="426"/>
      <c r="C68" s="432" t="s">
        <v>529</v>
      </c>
      <c r="D68" s="390"/>
      <c r="I68" s="425">
        <f>'CUARTEL GENERAL'!K96</f>
        <v>0</v>
      </c>
      <c r="J68" s="425">
        <v>1</v>
      </c>
      <c r="K68" s="425">
        <f t="shared" si="9"/>
        <v>0</v>
      </c>
      <c r="L68" s="467">
        <f>$I$14</f>
        <v>0.83</v>
      </c>
      <c r="M68" s="467">
        <f>$C$22</f>
        <v>0.5555555555555556</v>
      </c>
      <c r="N68" s="468">
        <f t="shared" si="10"/>
        <v>0</v>
      </c>
      <c r="O68" s="470">
        <f>N68</f>
        <v>0</v>
      </c>
      <c r="P68" s="482">
        <v>4</v>
      </c>
      <c r="Q68" s="484">
        <f t="shared" si="11"/>
        <v>0</v>
      </c>
      <c r="S68" s="130"/>
      <c r="T68" s="130"/>
    </row>
    <row r="69" spans="1:20" ht="15.75">
      <c r="A69" s="111"/>
      <c r="B69" s="426"/>
      <c r="C69" s="432" t="s">
        <v>492</v>
      </c>
      <c r="D69" s="390"/>
      <c r="I69" s="425">
        <f>'CUARTEL GENERAL'!K97</f>
        <v>0</v>
      </c>
      <c r="J69" s="425">
        <v>1</v>
      </c>
      <c r="K69" s="425">
        <f t="shared" si="9"/>
        <v>0</v>
      </c>
      <c r="L69" s="467">
        <f>$I$14</f>
        <v>0.83</v>
      </c>
      <c r="M69" s="467">
        <f>$C$22</f>
        <v>0.5555555555555556</v>
      </c>
      <c r="N69" s="468">
        <f t="shared" si="10"/>
        <v>0</v>
      </c>
      <c r="O69" s="470">
        <f>N69</f>
        <v>0</v>
      </c>
      <c r="P69" s="482">
        <v>4</v>
      </c>
      <c r="Q69" s="484">
        <f t="shared" si="11"/>
        <v>0</v>
      </c>
      <c r="S69" s="130"/>
      <c r="T69" s="130"/>
    </row>
    <row r="70" spans="1:20" ht="15.75">
      <c r="A70" s="111"/>
      <c r="B70" s="426"/>
      <c r="C70" s="432" t="s">
        <v>504</v>
      </c>
      <c r="D70" s="390"/>
      <c r="I70" s="425">
        <f>'CUARTEL GENERAL'!K100+'CUARTEL GENERAL'!K101</f>
        <v>0</v>
      </c>
      <c r="J70" s="425">
        <v>2</v>
      </c>
      <c r="K70" s="425">
        <f t="shared" si="9"/>
        <v>0</v>
      </c>
      <c r="L70" s="467">
        <f>L41</f>
        <v>1.94</v>
      </c>
      <c r="M70" s="467">
        <f>$C$15</f>
        <v>0.5555555555555556</v>
      </c>
      <c r="N70" s="468">
        <f t="shared" si="10"/>
        <v>0</v>
      </c>
      <c r="O70" s="470">
        <f>N70</f>
        <v>0</v>
      </c>
      <c r="P70" s="482">
        <v>1</v>
      </c>
      <c r="Q70" s="484">
        <f t="shared" si="11"/>
        <v>0</v>
      </c>
      <c r="S70" s="130"/>
      <c r="T70" s="130"/>
    </row>
    <row r="71" spans="1:20" ht="15.75">
      <c r="A71" s="111"/>
      <c r="B71" s="426"/>
      <c r="C71" s="111" t="s">
        <v>300</v>
      </c>
      <c r="D71" s="390"/>
      <c r="I71" s="425">
        <f>'CUARTEL GENERAL'!L92</f>
        <v>0</v>
      </c>
      <c r="J71" s="425">
        <v>1</v>
      </c>
      <c r="K71" s="425">
        <f t="shared" si="9"/>
        <v>0</v>
      </c>
      <c r="L71" s="467">
        <f aca="true" t="shared" si="12" ref="L71:M74">L66</f>
        <v>0.83</v>
      </c>
      <c r="M71" s="467">
        <f t="shared" si="12"/>
        <v>0.5555555555555556</v>
      </c>
      <c r="N71" s="468">
        <f t="shared" si="10"/>
        <v>0</v>
      </c>
      <c r="O71" s="470"/>
      <c r="P71" s="482">
        <v>4</v>
      </c>
      <c r="Q71" s="484">
        <f t="shared" si="11"/>
        <v>0</v>
      </c>
      <c r="S71" s="130"/>
      <c r="T71" s="130"/>
    </row>
    <row r="72" spans="1:20" ht="15.75">
      <c r="A72" s="111"/>
      <c r="B72" s="426"/>
      <c r="C72" s="111" t="s">
        <v>528</v>
      </c>
      <c r="D72" s="390"/>
      <c r="I72" s="425">
        <f>'CUARTEL GENERAL'!L93</f>
        <v>0</v>
      </c>
      <c r="J72" s="425">
        <v>1</v>
      </c>
      <c r="K72" s="425">
        <f t="shared" si="9"/>
        <v>0</v>
      </c>
      <c r="L72" s="467">
        <f t="shared" si="12"/>
        <v>0.83</v>
      </c>
      <c r="M72" s="467">
        <f t="shared" si="12"/>
        <v>0.5555555555555556</v>
      </c>
      <c r="N72" s="468">
        <f t="shared" si="10"/>
        <v>0</v>
      </c>
      <c r="O72" s="470"/>
      <c r="P72" s="482">
        <v>4</v>
      </c>
      <c r="Q72" s="484">
        <f t="shared" si="11"/>
        <v>0</v>
      </c>
      <c r="S72" s="130"/>
      <c r="T72" s="130"/>
    </row>
    <row r="73" spans="1:20" ht="15.75">
      <c r="A73" s="111"/>
      <c r="B73" s="426"/>
      <c r="C73" s="111" t="s">
        <v>529</v>
      </c>
      <c r="D73" s="390"/>
      <c r="I73" s="425">
        <f>'CUARTEL GENERAL'!L96</f>
        <v>0</v>
      </c>
      <c r="J73" s="425">
        <v>1</v>
      </c>
      <c r="K73" s="425">
        <f t="shared" si="9"/>
        <v>0</v>
      </c>
      <c r="L73" s="467">
        <f t="shared" si="12"/>
        <v>0.83</v>
      </c>
      <c r="M73" s="467">
        <f t="shared" si="12"/>
        <v>0.5555555555555556</v>
      </c>
      <c r="N73" s="468">
        <f t="shared" si="10"/>
        <v>0</v>
      </c>
      <c r="O73" s="470">
        <f>N73</f>
        <v>0</v>
      </c>
      <c r="P73" s="482">
        <v>4</v>
      </c>
      <c r="Q73" s="484">
        <f t="shared" si="11"/>
        <v>0</v>
      </c>
      <c r="S73" s="130"/>
      <c r="T73" s="130"/>
    </row>
    <row r="74" spans="1:20" ht="15.75">
      <c r="A74" s="111"/>
      <c r="B74" s="426"/>
      <c r="C74" s="111" t="s">
        <v>492</v>
      </c>
      <c r="D74" s="390"/>
      <c r="I74" s="425">
        <f>'CUARTEL GENERAL'!L97</f>
        <v>0</v>
      </c>
      <c r="J74" s="425">
        <v>1</v>
      </c>
      <c r="K74" s="425">
        <f t="shared" si="9"/>
        <v>0</v>
      </c>
      <c r="L74" s="467">
        <f t="shared" si="12"/>
        <v>0.83</v>
      </c>
      <c r="M74" s="467">
        <f t="shared" si="12"/>
        <v>0.5555555555555556</v>
      </c>
      <c r="N74" s="468">
        <f t="shared" si="10"/>
        <v>0</v>
      </c>
      <c r="O74" s="470">
        <f>N74</f>
        <v>0</v>
      </c>
      <c r="P74" s="482">
        <v>4</v>
      </c>
      <c r="Q74" s="484">
        <f t="shared" si="11"/>
        <v>0</v>
      </c>
      <c r="S74" s="130"/>
      <c r="T74" s="130"/>
    </row>
    <row r="75" spans="1:20" ht="15.75">
      <c r="A75" s="111"/>
      <c r="B75" s="426"/>
      <c r="C75" s="111" t="s">
        <v>504</v>
      </c>
      <c r="D75" s="390"/>
      <c r="I75" s="425">
        <f>'CUARTEL GENERAL'!L100+'CUARTEL GENERAL'!L101</f>
        <v>0</v>
      </c>
      <c r="J75" s="425">
        <v>3</v>
      </c>
      <c r="K75" s="425">
        <f t="shared" si="9"/>
        <v>0</v>
      </c>
      <c r="L75" s="467">
        <f>L70</f>
        <v>1.94</v>
      </c>
      <c r="M75" s="467">
        <f>$C$15</f>
        <v>0.5555555555555556</v>
      </c>
      <c r="N75" s="468">
        <f t="shared" si="10"/>
        <v>0</v>
      </c>
      <c r="O75" s="470">
        <f>N75</f>
        <v>0</v>
      </c>
      <c r="P75" s="482">
        <v>1</v>
      </c>
      <c r="Q75" s="484">
        <f t="shared" si="11"/>
        <v>0</v>
      </c>
      <c r="S75" s="130"/>
      <c r="T75" s="130"/>
    </row>
    <row r="76" spans="2:20" ht="16.5" thickBot="1">
      <c r="B76" s="390"/>
      <c r="C76" s="426"/>
      <c r="D76" s="390"/>
      <c r="I76" s="425"/>
      <c r="J76" s="425"/>
      <c r="K76" s="425"/>
      <c r="L76" s="467"/>
      <c r="M76" s="467"/>
      <c r="N76" s="468"/>
      <c r="O76" s="469"/>
      <c r="P76" s="482"/>
      <c r="Q76" s="483"/>
      <c r="S76" s="130"/>
      <c r="T76" s="130"/>
    </row>
    <row r="77" spans="1:20" ht="13.5" thickBot="1">
      <c r="A77" s="389"/>
      <c r="B77" s="388" t="s">
        <v>13</v>
      </c>
      <c r="C77" s="398"/>
      <c r="D77" s="398"/>
      <c r="E77" s="398"/>
      <c r="F77" s="398"/>
      <c r="G77" s="398"/>
      <c r="H77" s="428"/>
      <c r="I77" s="381">
        <f>SUM(I78:I85)</f>
        <v>0</v>
      </c>
      <c r="J77" s="381"/>
      <c r="K77" s="381">
        <f>SUM(K78:K85)</f>
        <v>0</v>
      </c>
      <c r="L77" s="436"/>
      <c r="M77" s="436"/>
      <c r="N77" s="471">
        <f>SUM(N78:N85)</f>
        <v>0</v>
      </c>
      <c r="O77" s="471">
        <f>SUM(O78:O85)</f>
        <v>0</v>
      </c>
      <c r="P77" s="502"/>
      <c r="Q77" s="503">
        <f>SUM(Q78:Q85)</f>
        <v>0</v>
      </c>
      <c r="S77" s="130"/>
      <c r="T77" s="130"/>
    </row>
    <row r="78" spans="1:20" ht="15.75">
      <c r="A78" s="393">
        <v>1</v>
      </c>
      <c r="B78" s="424" t="s">
        <v>425</v>
      </c>
      <c r="C78" s="390"/>
      <c r="D78" s="390"/>
      <c r="I78" s="425"/>
      <c r="J78" s="425"/>
      <c r="K78" s="425"/>
      <c r="L78" s="467"/>
      <c r="M78" s="467"/>
      <c r="N78" s="468"/>
      <c r="O78" s="469"/>
      <c r="P78" s="482"/>
      <c r="Q78" s="483"/>
      <c r="S78" s="130"/>
      <c r="T78" s="130"/>
    </row>
    <row r="79" spans="1:20" ht="12.75">
      <c r="A79" s="393"/>
      <c r="B79" s="390"/>
      <c r="C79" s="390" t="s">
        <v>537</v>
      </c>
      <c r="D79" s="390"/>
      <c r="I79" s="425">
        <f>LINEA!K5</f>
        <v>0</v>
      </c>
      <c r="J79" s="425">
        <v>1</v>
      </c>
      <c r="K79" s="425">
        <f>J79*(I79)</f>
        <v>0</v>
      </c>
      <c r="L79" s="467">
        <f>L66</f>
        <v>0.83</v>
      </c>
      <c r="M79" s="467">
        <f>$C$22</f>
        <v>0.5555555555555556</v>
      </c>
      <c r="N79" s="468">
        <f>K79*L79*M79</f>
        <v>0</v>
      </c>
      <c r="O79" s="469"/>
      <c r="P79" s="482">
        <v>4</v>
      </c>
      <c r="Q79" s="483">
        <f>K79*P79</f>
        <v>0</v>
      </c>
      <c r="S79" s="130"/>
      <c r="T79" s="130"/>
    </row>
    <row r="80" spans="1:20" ht="12.75">
      <c r="A80" s="393"/>
      <c r="B80" s="390"/>
      <c r="C80" s="390" t="s">
        <v>536</v>
      </c>
      <c r="D80" s="390"/>
      <c r="I80" s="425">
        <f>LINEA!K6</f>
        <v>0</v>
      </c>
      <c r="J80" s="425">
        <v>1</v>
      </c>
      <c r="K80" s="425">
        <f>J80*(I80)</f>
        <v>0</v>
      </c>
      <c r="L80" s="467">
        <f>L67</f>
        <v>0.83</v>
      </c>
      <c r="M80" s="467">
        <f>$C$22</f>
        <v>0.5555555555555556</v>
      </c>
      <c r="N80" s="468">
        <f>K80*L80*M80</f>
        <v>0</v>
      </c>
      <c r="O80" s="469"/>
      <c r="P80" s="482">
        <v>4</v>
      </c>
      <c r="Q80" s="483">
        <f>K80*P80</f>
        <v>0</v>
      </c>
      <c r="S80" s="130"/>
      <c r="T80" s="130"/>
    </row>
    <row r="81" spans="1:20" ht="12.75">
      <c r="A81" s="393"/>
      <c r="B81" s="390"/>
      <c r="C81" s="368" t="s">
        <v>535</v>
      </c>
      <c r="D81" s="390"/>
      <c r="I81" s="425">
        <f>LINEA!K8</f>
        <v>0</v>
      </c>
      <c r="J81" s="425">
        <v>1</v>
      </c>
      <c r="K81" s="425">
        <f>J81*(I81)</f>
        <v>0</v>
      </c>
      <c r="L81" s="467">
        <f>L68</f>
        <v>0.83</v>
      </c>
      <c r="M81" s="467">
        <f>$C$22</f>
        <v>0.5555555555555556</v>
      </c>
      <c r="N81" s="468">
        <f>K81*L81*M81</f>
        <v>0</v>
      </c>
      <c r="O81" s="470"/>
      <c r="P81" s="482">
        <v>4</v>
      </c>
      <c r="Q81" s="483">
        <f>K81*P81</f>
        <v>0</v>
      </c>
      <c r="S81" s="130"/>
      <c r="T81" s="130"/>
    </row>
    <row r="82" spans="1:20" ht="12.75">
      <c r="A82" s="393"/>
      <c r="B82" s="390"/>
      <c r="C82" s="432" t="s">
        <v>492</v>
      </c>
      <c r="D82" s="390"/>
      <c r="I82" s="425">
        <f>LINEA!K10</f>
        <v>0</v>
      </c>
      <c r="J82" s="425">
        <v>1</v>
      </c>
      <c r="K82" s="425">
        <f>J82*(I82)</f>
        <v>0</v>
      </c>
      <c r="L82" s="467">
        <f>L69</f>
        <v>0.83</v>
      </c>
      <c r="M82" s="467">
        <f>$C$22</f>
        <v>0.5555555555555556</v>
      </c>
      <c r="N82" s="468">
        <f>K82*L82*M82</f>
        <v>0</v>
      </c>
      <c r="O82" s="470">
        <f>N82</f>
        <v>0</v>
      </c>
      <c r="P82" s="482">
        <v>4</v>
      </c>
      <c r="Q82" s="483">
        <f>K82*P82</f>
        <v>0</v>
      </c>
      <c r="S82" s="130"/>
      <c r="T82" s="130"/>
    </row>
    <row r="83" spans="1:20" ht="12.75">
      <c r="A83" s="393"/>
      <c r="B83" s="390"/>
      <c r="C83" s="432" t="s">
        <v>504</v>
      </c>
      <c r="D83" s="390"/>
      <c r="I83" s="425">
        <f>LINEA!K12+LINEA!K13</f>
        <v>0</v>
      </c>
      <c r="J83" s="425">
        <v>2</v>
      </c>
      <c r="K83" s="425">
        <f>J83*(I83)</f>
        <v>0</v>
      </c>
      <c r="L83" s="467">
        <f>L70</f>
        <v>1.94</v>
      </c>
      <c r="M83" s="467">
        <f>$C$15</f>
        <v>0.5555555555555556</v>
      </c>
      <c r="N83" s="468">
        <f>K83*L83*M83</f>
        <v>0</v>
      </c>
      <c r="O83" s="470">
        <f>N83</f>
        <v>0</v>
      </c>
      <c r="P83" s="482">
        <v>1</v>
      </c>
      <c r="Q83" s="483">
        <f>K83*P83</f>
        <v>0</v>
      </c>
      <c r="S83" s="130"/>
      <c r="T83" s="130"/>
    </row>
    <row r="84" spans="1:20" ht="15.75">
      <c r="A84" s="393"/>
      <c r="B84" s="424"/>
      <c r="C84" s="390"/>
      <c r="D84" s="390"/>
      <c r="I84" s="425"/>
      <c r="J84" s="425"/>
      <c r="K84" s="425"/>
      <c r="L84" s="467"/>
      <c r="M84" s="467"/>
      <c r="N84" s="468"/>
      <c r="O84" s="469"/>
      <c r="P84" s="482"/>
      <c r="Q84" s="483"/>
      <c r="S84" s="130"/>
      <c r="T84" s="130"/>
    </row>
    <row r="85" spans="1:20" ht="13.5" thickBot="1">
      <c r="A85" s="393">
        <v>6</v>
      </c>
      <c r="B85" s="390"/>
      <c r="C85" s="390"/>
      <c r="D85" s="390"/>
      <c r="I85" s="425"/>
      <c r="J85" s="425"/>
      <c r="K85" s="425">
        <f>J85*(I85)</f>
        <v>0</v>
      </c>
      <c r="L85" s="467"/>
      <c r="M85" s="467"/>
      <c r="N85" s="468"/>
      <c r="O85" s="469"/>
      <c r="P85" s="482"/>
      <c r="Q85" s="483"/>
      <c r="S85" s="130"/>
      <c r="T85" s="130"/>
    </row>
    <row r="86" spans="1:20" ht="13.5" thickBot="1">
      <c r="A86" s="389"/>
      <c r="B86" s="388" t="s">
        <v>14</v>
      </c>
      <c r="C86" s="398"/>
      <c r="D86" s="398"/>
      <c r="E86" s="398"/>
      <c r="F86" s="398"/>
      <c r="G86" s="398"/>
      <c r="H86" s="428"/>
      <c r="I86" s="381">
        <f>SUM(I87:I126)</f>
        <v>0</v>
      </c>
      <c r="J86" s="381"/>
      <c r="K86" s="381">
        <f>SUM(K87:K126)</f>
        <v>0</v>
      </c>
      <c r="L86" s="436">
        <f>SUM(L87:L126)</f>
        <v>36.87999999999999</v>
      </c>
      <c r="M86" s="436">
        <f>SUM(M87:M126)</f>
        <v>17.77777777777778</v>
      </c>
      <c r="N86" s="471">
        <f>SUM(N87:N126)</f>
        <v>0</v>
      </c>
      <c r="O86" s="471">
        <f>SUM(O87:O126)</f>
        <v>0</v>
      </c>
      <c r="P86" s="502"/>
      <c r="Q86" s="503">
        <f>SUM(Q87:Q126)</f>
        <v>0</v>
      </c>
      <c r="S86" s="130"/>
      <c r="T86" s="130"/>
    </row>
    <row r="87" spans="1:20" ht="15.75">
      <c r="A87" s="393">
        <v>1</v>
      </c>
      <c r="B87" s="424" t="s">
        <v>538</v>
      </c>
      <c r="C87" s="390"/>
      <c r="D87" s="390"/>
      <c r="I87" s="425"/>
      <c r="J87" s="425"/>
      <c r="K87" s="425"/>
      <c r="L87" s="467"/>
      <c r="M87" s="467"/>
      <c r="N87" s="468"/>
      <c r="O87" s="469"/>
      <c r="P87" s="482"/>
      <c r="Q87" s="483"/>
      <c r="S87" s="130"/>
      <c r="T87" s="130"/>
    </row>
    <row r="88" spans="1:20" ht="12.75">
      <c r="A88" s="393"/>
      <c r="B88" s="390"/>
      <c r="C88" s="390" t="s">
        <v>186</v>
      </c>
      <c r="D88" s="390"/>
      <c r="I88" s="425">
        <f>ELITE!K13</f>
        <v>0</v>
      </c>
      <c r="J88" s="425">
        <v>2</v>
      </c>
      <c r="K88" s="425">
        <f>I88*J88</f>
        <v>0</v>
      </c>
      <c r="L88" s="468">
        <f>I10</f>
        <v>2.96</v>
      </c>
      <c r="M88" s="467">
        <f>$C$15</f>
        <v>0.5555555555555556</v>
      </c>
      <c r="N88" s="468">
        <f>K88*L88*M88</f>
        <v>0</v>
      </c>
      <c r="O88" s="470">
        <f>N88</f>
        <v>0</v>
      </c>
      <c r="P88" s="482">
        <v>4</v>
      </c>
      <c r="Q88" s="484">
        <f>K88*P88</f>
        <v>0</v>
      </c>
      <c r="R88" s="486"/>
      <c r="S88" s="130"/>
      <c r="T88" s="130"/>
    </row>
    <row r="89" spans="1:20" ht="12.75">
      <c r="A89" s="393"/>
      <c r="B89" s="390"/>
      <c r="C89" s="390" t="s">
        <v>300</v>
      </c>
      <c r="D89" s="390"/>
      <c r="I89" s="425">
        <f>ELITE!K12</f>
        <v>0</v>
      </c>
      <c r="J89" s="425">
        <f>2</f>
        <v>2</v>
      </c>
      <c r="K89" s="425">
        <f>I89*J89</f>
        <v>0</v>
      </c>
      <c r="L89" s="468">
        <f>I14</f>
        <v>0.83</v>
      </c>
      <c r="M89" s="467">
        <f>$C$15</f>
        <v>0.5555555555555556</v>
      </c>
      <c r="N89" s="468">
        <f>K89*L89*M89</f>
        <v>0</v>
      </c>
      <c r="O89" s="470"/>
      <c r="P89" s="482">
        <v>4</v>
      </c>
      <c r="Q89" s="484">
        <f>K89*P89</f>
        <v>0</v>
      </c>
      <c r="R89" s="486"/>
      <c r="S89" s="130"/>
      <c r="T89" s="130"/>
    </row>
    <row r="90" spans="1:20" ht="15.75">
      <c r="A90" s="393">
        <v>2</v>
      </c>
      <c r="B90" s="424" t="s">
        <v>539</v>
      </c>
      <c r="C90" s="390"/>
      <c r="D90" s="390"/>
      <c r="I90" s="425"/>
      <c r="J90" s="425"/>
      <c r="K90" s="425"/>
      <c r="L90" s="467"/>
      <c r="M90" s="467"/>
      <c r="N90" s="468"/>
      <c r="O90" s="469"/>
      <c r="P90" s="482"/>
      <c r="Q90" s="484"/>
      <c r="S90" s="130"/>
      <c r="T90" s="130"/>
    </row>
    <row r="91" spans="1:20" ht="15.75">
      <c r="A91" s="393"/>
      <c r="B91" s="424"/>
      <c r="C91" s="390" t="s">
        <v>540</v>
      </c>
      <c r="D91" s="390"/>
      <c r="I91" s="425">
        <f>ELITE!K5</f>
        <v>0</v>
      </c>
      <c r="J91" s="425">
        <v>2</v>
      </c>
      <c r="K91" s="425">
        <f aca="true" t="shared" si="13" ref="K91:K100">I91*J91</f>
        <v>0</v>
      </c>
      <c r="L91" s="467">
        <f>L35</f>
        <v>0.09</v>
      </c>
      <c r="M91" s="467">
        <f aca="true" t="shared" si="14" ref="M91:M100">$C$15</f>
        <v>0.5555555555555556</v>
      </c>
      <c r="N91" s="468">
        <f aca="true" t="shared" si="15" ref="N91:N100">K91*L91*M91</f>
        <v>0</v>
      </c>
      <c r="O91" s="470">
        <f aca="true" t="shared" si="16" ref="O91:O100">N91</f>
        <v>0</v>
      </c>
      <c r="P91" s="482">
        <v>4</v>
      </c>
      <c r="Q91" s="484">
        <f aca="true" t="shared" si="17" ref="Q91:Q100">K91*P91</f>
        <v>0</v>
      </c>
      <c r="S91" s="130"/>
      <c r="T91" s="130"/>
    </row>
    <row r="92" spans="1:20" ht="15.75">
      <c r="A92" s="393"/>
      <c r="B92" s="424"/>
      <c r="C92" s="390" t="s">
        <v>541</v>
      </c>
      <c r="D92" s="390"/>
      <c r="I92" s="425">
        <f>ELITE!K8</f>
        <v>0</v>
      </c>
      <c r="J92" s="425">
        <v>3</v>
      </c>
      <c r="K92" s="425">
        <f t="shared" si="13"/>
        <v>0</v>
      </c>
      <c r="L92" s="467">
        <f>L40</f>
        <v>0.09</v>
      </c>
      <c r="M92" s="467">
        <f t="shared" si="14"/>
        <v>0.5555555555555556</v>
      </c>
      <c r="N92" s="468">
        <f t="shared" si="15"/>
        <v>0</v>
      </c>
      <c r="O92" s="470">
        <f t="shared" si="16"/>
        <v>0</v>
      </c>
      <c r="P92" s="482">
        <v>4</v>
      </c>
      <c r="Q92" s="484">
        <f t="shared" si="17"/>
        <v>0</v>
      </c>
      <c r="S92" s="130"/>
      <c r="T92" s="130"/>
    </row>
    <row r="93" spans="1:20" ht="15.75">
      <c r="A93" s="393"/>
      <c r="B93" s="424"/>
      <c r="C93" s="390" t="s">
        <v>542</v>
      </c>
      <c r="D93" s="390"/>
      <c r="I93" s="425">
        <f>ELITE!K6</f>
        <v>0</v>
      </c>
      <c r="J93" s="425">
        <v>2</v>
      </c>
      <c r="K93" s="425">
        <f t="shared" si="13"/>
        <v>0</v>
      </c>
      <c r="L93" s="467">
        <f>L41</f>
        <v>1.94</v>
      </c>
      <c r="M93" s="467">
        <f t="shared" si="14"/>
        <v>0.5555555555555556</v>
      </c>
      <c r="N93" s="468">
        <f t="shared" si="15"/>
        <v>0</v>
      </c>
      <c r="O93" s="470">
        <f t="shared" si="16"/>
        <v>0</v>
      </c>
      <c r="P93" s="482">
        <v>1</v>
      </c>
      <c r="Q93" s="484">
        <f t="shared" si="17"/>
        <v>0</v>
      </c>
      <c r="S93" s="130"/>
      <c r="T93" s="130"/>
    </row>
    <row r="94" spans="1:20" ht="15.75">
      <c r="A94" s="393"/>
      <c r="B94" s="424"/>
      <c r="C94" s="390" t="s">
        <v>291</v>
      </c>
      <c r="D94" s="390"/>
      <c r="I94" s="425">
        <f>ELITE!K7</f>
        <v>0</v>
      </c>
      <c r="J94" s="425">
        <v>2</v>
      </c>
      <c r="K94" s="425">
        <f t="shared" si="13"/>
        <v>0</v>
      </c>
      <c r="L94" s="467">
        <f>M12</f>
        <v>3.12</v>
      </c>
      <c r="M94" s="467">
        <f t="shared" si="14"/>
        <v>0.5555555555555556</v>
      </c>
      <c r="N94" s="468">
        <f t="shared" si="15"/>
        <v>0</v>
      </c>
      <c r="O94" s="470">
        <f t="shared" si="16"/>
        <v>0</v>
      </c>
      <c r="P94" s="482">
        <v>1</v>
      </c>
      <c r="Q94" s="484">
        <f t="shared" si="17"/>
        <v>0</v>
      </c>
      <c r="S94" s="130"/>
      <c r="T94" s="130"/>
    </row>
    <row r="95" spans="1:20" ht="15.75">
      <c r="A95" s="393"/>
      <c r="B95" s="424"/>
      <c r="C95" s="390" t="s">
        <v>169</v>
      </c>
      <c r="D95" s="390"/>
      <c r="I95" s="425">
        <f>ELITE!K9</f>
        <v>0</v>
      </c>
      <c r="J95" s="425">
        <v>2</v>
      </c>
      <c r="K95" s="425">
        <f t="shared" si="13"/>
        <v>0</v>
      </c>
      <c r="L95" s="467">
        <f>L41</f>
        <v>1.94</v>
      </c>
      <c r="M95" s="467">
        <f t="shared" si="14"/>
        <v>0.5555555555555556</v>
      </c>
      <c r="N95" s="468">
        <f t="shared" si="15"/>
        <v>0</v>
      </c>
      <c r="O95" s="470">
        <f t="shared" si="16"/>
        <v>0</v>
      </c>
      <c r="P95" s="482">
        <v>1</v>
      </c>
      <c r="Q95" s="484">
        <f t="shared" si="17"/>
        <v>0</v>
      </c>
      <c r="S95" s="130"/>
      <c r="T95" s="130"/>
    </row>
    <row r="96" spans="1:20" ht="15.75">
      <c r="A96" s="393"/>
      <c r="B96" s="424"/>
      <c r="C96" s="111" t="s">
        <v>540</v>
      </c>
      <c r="D96" s="390"/>
      <c r="I96" s="425">
        <f>ELITE!L5</f>
        <v>0</v>
      </c>
      <c r="J96" s="425">
        <v>3</v>
      </c>
      <c r="K96" s="425">
        <f t="shared" si="13"/>
        <v>0</v>
      </c>
      <c r="L96" s="467">
        <f>L91</f>
        <v>0.09</v>
      </c>
      <c r="M96" s="467">
        <f t="shared" si="14"/>
        <v>0.5555555555555556</v>
      </c>
      <c r="N96" s="468">
        <f t="shared" si="15"/>
        <v>0</v>
      </c>
      <c r="O96" s="470">
        <f t="shared" si="16"/>
        <v>0</v>
      </c>
      <c r="P96" s="482">
        <v>4</v>
      </c>
      <c r="Q96" s="484">
        <f t="shared" si="17"/>
        <v>0</v>
      </c>
      <c r="S96" s="130"/>
      <c r="T96" s="130"/>
    </row>
    <row r="97" spans="1:20" ht="15.75">
      <c r="A97" s="393"/>
      <c r="B97" s="424"/>
      <c r="C97" s="111" t="s">
        <v>541</v>
      </c>
      <c r="D97" s="390"/>
      <c r="I97" s="425">
        <f>ELITE!L8</f>
        <v>0</v>
      </c>
      <c r="J97" s="425">
        <v>4</v>
      </c>
      <c r="K97" s="425">
        <f t="shared" si="13"/>
        <v>0</v>
      </c>
      <c r="L97" s="467">
        <f>L92</f>
        <v>0.09</v>
      </c>
      <c r="M97" s="467">
        <f t="shared" si="14"/>
        <v>0.5555555555555556</v>
      </c>
      <c r="N97" s="468">
        <f t="shared" si="15"/>
        <v>0</v>
      </c>
      <c r="O97" s="470">
        <f t="shared" si="16"/>
        <v>0</v>
      </c>
      <c r="P97" s="482">
        <v>4</v>
      </c>
      <c r="Q97" s="484">
        <f t="shared" si="17"/>
        <v>0</v>
      </c>
      <c r="S97" s="130"/>
      <c r="T97" s="130"/>
    </row>
    <row r="98" spans="1:20" ht="15.75">
      <c r="A98" s="393"/>
      <c r="B98" s="424"/>
      <c r="C98" s="111" t="s">
        <v>542</v>
      </c>
      <c r="D98" s="390"/>
      <c r="I98" s="425">
        <f>ELITE!L6</f>
        <v>0</v>
      </c>
      <c r="J98" s="425">
        <v>3</v>
      </c>
      <c r="K98" s="425">
        <f t="shared" si="13"/>
        <v>0</v>
      </c>
      <c r="L98" s="467">
        <f>L93</f>
        <v>1.94</v>
      </c>
      <c r="M98" s="467">
        <f t="shared" si="14"/>
        <v>0.5555555555555556</v>
      </c>
      <c r="N98" s="468">
        <f t="shared" si="15"/>
        <v>0</v>
      </c>
      <c r="O98" s="470">
        <f t="shared" si="16"/>
        <v>0</v>
      </c>
      <c r="P98" s="482">
        <v>1</v>
      </c>
      <c r="Q98" s="484">
        <f t="shared" si="17"/>
        <v>0</v>
      </c>
      <c r="S98" s="130"/>
      <c r="T98" s="130"/>
    </row>
    <row r="99" spans="1:20" ht="15.75">
      <c r="A99" s="393"/>
      <c r="B99" s="424"/>
      <c r="C99" s="111" t="s">
        <v>291</v>
      </c>
      <c r="D99" s="390"/>
      <c r="I99" s="425">
        <f>ELITE!L7</f>
        <v>0</v>
      </c>
      <c r="J99" s="425">
        <v>3</v>
      </c>
      <c r="K99" s="425">
        <f t="shared" si="13"/>
        <v>0</v>
      </c>
      <c r="L99" s="467">
        <f>L94</f>
        <v>3.12</v>
      </c>
      <c r="M99" s="467">
        <f t="shared" si="14"/>
        <v>0.5555555555555556</v>
      </c>
      <c r="N99" s="468">
        <f t="shared" si="15"/>
        <v>0</v>
      </c>
      <c r="O99" s="470">
        <f t="shared" si="16"/>
        <v>0</v>
      </c>
      <c r="P99" s="482">
        <v>1</v>
      </c>
      <c r="Q99" s="484">
        <f t="shared" si="17"/>
        <v>0</v>
      </c>
      <c r="S99" s="130"/>
      <c r="T99" s="130"/>
    </row>
    <row r="100" spans="1:20" ht="15.75">
      <c r="A100" s="393"/>
      <c r="B100" s="424"/>
      <c r="C100" s="111" t="s">
        <v>169</v>
      </c>
      <c r="D100" s="390"/>
      <c r="I100" s="425">
        <f>ELITE!L9</f>
        <v>0</v>
      </c>
      <c r="J100" s="425">
        <v>3</v>
      </c>
      <c r="K100" s="425">
        <f t="shared" si="13"/>
        <v>0</v>
      </c>
      <c r="L100" s="467">
        <f>L95</f>
        <v>1.94</v>
      </c>
      <c r="M100" s="467">
        <f t="shared" si="14"/>
        <v>0.5555555555555556</v>
      </c>
      <c r="N100" s="468">
        <f t="shared" si="15"/>
        <v>0</v>
      </c>
      <c r="O100" s="470">
        <f t="shared" si="16"/>
        <v>0</v>
      </c>
      <c r="P100" s="482">
        <v>1</v>
      </c>
      <c r="Q100" s="484">
        <f t="shared" si="17"/>
        <v>0</v>
      </c>
      <c r="S100" s="130"/>
      <c r="T100" s="130"/>
    </row>
    <row r="101" spans="1:20" ht="15.75">
      <c r="A101" s="393">
        <v>2</v>
      </c>
      <c r="B101" s="424" t="s">
        <v>307</v>
      </c>
      <c r="C101" s="111"/>
      <c r="D101" s="390"/>
      <c r="I101" s="425"/>
      <c r="J101" s="425"/>
      <c r="K101" s="425"/>
      <c r="L101" s="467"/>
      <c r="M101" s="467"/>
      <c r="N101" s="468"/>
      <c r="O101" s="470"/>
      <c r="P101" s="482"/>
      <c r="Q101" s="484"/>
      <c r="S101" s="130"/>
      <c r="T101" s="130"/>
    </row>
    <row r="102" spans="1:20" ht="15.75">
      <c r="A102" s="393"/>
      <c r="B102" s="424"/>
      <c r="C102" s="432" t="s">
        <v>300</v>
      </c>
      <c r="D102" s="390"/>
      <c r="I102" s="425">
        <f>ELITE!K34</f>
        <v>0</v>
      </c>
      <c r="J102" s="425">
        <v>1</v>
      </c>
      <c r="K102" s="425">
        <f aca="true" t="shared" si="18" ref="K102:K107">I102*J102</f>
        <v>0</v>
      </c>
      <c r="L102" s="467">
        <f>$L$35</f>
        <v>0.09</v>
      </c>
      <c r="M102" s="467">
        <f>$C$22</f>
        <v>0.5555555555555556</v>
      </c>
      <c r="N102" s="468">
        <f aca="true" t="shared" si="19" ref="N102:N107">K102*L102*M102</f>
        <v>0</v>
      </c>
      <c r="O102" s="470"/>
      <c r="P102" s="482">
        <v>4</v>
      </c>
      <c r="Q102" s="484">
        <f aca="true" t="shared" si="20" ref="Q102:Q107">K102*P102</f>
        <v>0</v>
      </c>
      <c r="S102" s="130"/>
      <c r="T102" s="130"/>
    </row>
    <row r="103" spans="1:20" ht="15.75">
      <c r="A103" s="393"/>
      <c r="B103" s="424"/>
      <c r="C103" s="111" t="s">
        <v>546</v>
      </c>
      <c r="I103" s="425">
        <f>ELITE!K35</f>
        <v>0</v>
      </c>
      <c r="J103" s="425">
        <v>1</v>
      </c>
      <c r="K103" s="425">
        <f t="shared" si="18"/>
        <v>0</v>
      </c>
      <c r="L103" s="467">
        <f>$L$35</f>
        <v>0.09</v>
      </c>
      <c r="M103" s="467">
        <f>$C$22</f>
        <v>0.5555555555555556</v>
      </c>
      <c r="N103" s="468">
        <f t="shared" si="19"/>
        <v>0</v>
      </c>
      <c r="O103" s="470"/>
      <c r="P103" s="482">
        <v>4</v>
      </c>
      <c r="Q103" s="484">
        <f t="shared" si="20"/>
        <v>0</v>
      </c>
      <c r="S103" s="130"/>
      <c r="T103" s="130"/>
    </row>
    <row r="104" spans="1:20" ht="15.75">
      <c r="A104" s="393"/>
      <c r="B104" s="424"/>
      <c r="C104" s="111" t="s">
        <v>547</v>
      </c>
      <c r="I104" s="425">
        <f>ELITE!K36</f>
        <v>0</v>
      </c>
      <c r="J104" s="425">
        <v>1</v>
      </c>
      <c r="K104" s="425">
        <f t="shared" si="18"/>
        <v>0</v>
      </c>
      <c r="L104" s="467">
        <f>$L$35</f>
        <v>0.09</v>
      </c>
      <c r="M104" s="467">
        <f>$C$22</f>
        <v>0.5555555555555556</v>
      </c>
      <c r="N104" s="468">
        <f t="shared" si="19"/>
        <v>0</v>
      </c>
      <c r="O104" s="470"/>
      <c r="P104" s="482">
        <v>4</v>
      </c>
      <c r="Q104" s="484">
        <f t="shared" si="20"/>
        <v>0</v>
      </c>
      <c r="S104" s="130"/>
      <c r="T104" s="130"/>
    </row>
    <row r="105" spans="1:20" ht="15.75">
      <c r="A105" s="393"/>
      <c r="B105" s="424"/>
      <c r="C105" s="432" t="s">
        <v>548</v>
      </c>
      <c r="D105" s="390"/>
      <c r="I105" s="425">
        <f>ELITE!K38</f>
        <v>0</v>
      </c>
      <c r="J105" s="425">
        <v>1</v>
      </c>
      <c r="K105" s="425">
        <f t="shared" si="18"/>
        <v>0</v>
      </c>
      <c r="L105" s="467">
        <f>$L$35</f>
        <v>0.09</v>
      </c>
      <c r="M105" s="467">
        <f>$C$22</f>
        <v>0.5555555555555556</v>
      </c>
      <c r="N105" s="468">
        <f t="shared" si="19"/>
        <v>0</v>
      </c>
      <c r="O105" s="470"/>
      <c r="P105" s="482">
        <v>4</v>
      </c>
      <c r="Q105" s="484">
        <f t="shared" si="20"/>
        <v>0</v>
      </c>
      <c r="S105" s="130"/>
      <c r="T105" s="130"/>
    </row>
    <row r="106" spans="1:20" ht="15.75">
      <c r="A106" s="393"/>
      <c r="B106" s="424"/>
      <c r="C106" s="432" t="s">
        <v>549</v>
      </c>
      <c r="D106" s="390"/>
      <c r="I106" s="425">
        <f>ELITE!K40</f>
        <v>0</v>
      </c>
      <c r="J106" s="425">
        <v>1</v>
      </c>
      <c r="K106" s="425">
        <f t="shared" si="18"/>
        <v>0</v>
      </c>
      <c r="L106" s="467">
        <f>$L$35</f>
        <v>0.09</v>
      </c>
      <c r="M106" s="467">
        <f>$C$22</f>
        <v>0.5555555555555556</v>
      </c>
      <c r="N106" s="468">
        <f t="shared" si="19"/>
        <v>0</v>
      </c>
      <c r="O106" s="470">
        <f>N106</f>
        <v>0</v>
      </c>
      <c r="P106" s="482">
        <v>4</v>
      </c>
      <c r="Q106" s="484">
        <f t="shared" si="20"/>
        <v>0</v>
      </c>
      <c r="S106" s="130"/>
      <c r="T106" s="130"/>
    </row>
    <row r="107" spans="1:20" ht="15.75">
      <c r="A107" s="393"/>
      <c r="B107" s="424"/>
      <c r="C107" s="432" t="s">
        <v>550</v>
      </c>
      <c r="D107" s="390"/>
      <c r="I107" s="425">
        <f>ELITE!K42+ELITE!K43</f>
        <v>0</v>
      </c>
      <c r="J107" s="425">
        <v>2</v>
      </c>
      <c r="K107" s="425">
        <f t="shared" si="18"/>
        <v>0</v>
      </c>
      <c r="L107" s="467">
        <f>L41</f>
        <v>1.94</v>
      </c>
      <c r="M107" s="467">
        <f>$C$15</f>
        <v>0.5555555555555556</v>
      </c>
      <c r="N107" s="468">
        <f t="shared" si="19"/>
        <v>0</v>
      </c>
      <c r="O107" s="470">
        <f>N107</f>
        <v>0</v>
      </c>
      <c r="P107" s="482">
        <v>1</v>
      </c>
      <c r="Q107" s="484">
        <f t="shared" si="20"/>
        <v>0</v>
      </c>
      <c r="S107" s="130"/>
      <c r="T107" s="130"/>
    </row>
    <row r="108" spans="1:20" ht="15.75">
      <c r="A108" s="393">
        <v>3</v>
      </c>
      <c r="B108" s="424" t="s">
        <v>301</v>
      </c>
      <c r="C108" s="432"/>
      <c r="D108" s="390"/>
      <c r="I108" s="425"/>
      <c r="J108" s="425"/>
      <c r="K108" s="425"/>
      <c r="L108" s="467"/>
      <c r="M108" s="467"/>
      <c r="N108" s="468"/>
      <c r="O108" s="470"/>
      <c r="P108" s="482"/>
      <c r="Q108" s="484"/>
      <c r="S108" s="130"/>
      <c r="T108" s="130"/>
    </row>
    <row r="109" spans="1:20" ht="15.75">
      <c r="A109" s="393"/>
      <c r="B109" s="424"/>
      <c r="C109" s="432" t="s">
        <v>266</v>
      </c>
      <c r="D109" s="390"/>
      <c r="I109" s="425">
        <f>ELITE!K23+ELITE!K25</f>
        <v>0</v>
      </c>
      <c r="J109" s="425">
        <v>1</v>
      </c>
      <c r="K109" s="425">
        <f aca="true" t="shared" si="21" ref="K109:K114">I109*J109</f>
        <v>0</v>
      </c>
      <c r="L109" s="467">
        <f>$I$14</f>
        <v>0.83</v>
      </c>
      <c r="M109" s="467">
        <f>$C$22</f>
        <v>0.5555555555555556</v>
      </c>
      <c r="N109" s="468">
        <f aca="true" t="shared" si="22" ref="N109:N114">K109*L109*M109</f>
        <v>0</v>
      </c>
      <c r="O109" s="470">
        <f>N109</f>
        <v>0</v>
      </c>
      <c r="P109" s="482">
        <v>4</v>
      </c>
      <c r="Q109" s="484">
        <f aca="true" t="shared" si="23" ref="Q109:Q114">K109*P109</f>
        <v>0</v>
      </c>
      <c r="S109" s="130"/>
      <c r="T109" s="130"/>
    </row>
    <row r="110" spans="1:20" ht="15.75">
      <c r="A110" s="393"/>
      <c r="B110" s="424"/>
      <c r="C110" s="432" t="s">
        <v>555</v>
      </c>
      <c r="D110" s="390"/>
      <c r="I110" s="425">
        <f>ELITE!K24+ELITE!K26</f>
        <v>0</v>
      </c>
      <c r="J110" s="425">
        <v>1</v>
      </c>
      <c r="K110" s="425">
        <f t="shared" si="21"/>
        <v>0</v>
      </c>
      <c r="L110" s="467">
        <f>$I$14</f>
        <v>0.83</v>
      </c>
      <c r="M110" s="467">
        <f>$C$22</f>
        <v>0.5555555555555556</v>
      </c>
      <c r="N110" s="468">
        <f t="shared" si="22"/>
        <v>0</v>
      </c>
      <c r="O110" s="470">
        <f>N110</f>
        <v>0</v>
      </c>
      <c r="P110" s="482">
        <v>4</v>
      </c>
      <c r="Q110" s="484">
        <f t="shared" si="23"/>
        <v>0</v>
      </c>
      <c r="S110" s="130"/>
      <c r="T110" s="130"/>
    </row>
    <row r="111" spans="1:20" ht="15.75">
      <c r="A111" s="393"/>
      <c r="B111" s="424"/>
      <c r="C111" s="432" t="s">
        <v>552</v>
      </c>
      <c r="D111" s="390"/>
      <c r="I111" s="425">
        <f>ELITE!K23+ELITE!K24</f>
        <v>0</v>
      </c>
      <c r="J111" s="425">
        <v>1</v>
      </c>
      <c r="K111" s="425">
        <f t="shared" si="21"/>
        <v>0</v>
      </c>
      <c r="L111" s="467">
        <f>$L$41</f>
        <v>1.94</v>
      </c>
      <c r="M111" s="467">
        <f>$C$15</f>
        <v>0.5555555555555556</v>
      </c>
      <c r="N111" s="468">
        <f t="shared" si="22"/>
        <v>0</v>
      </c>
      <c r="O111" s="470">
        <f>N111</f>
        <v>0</v>
      </c>
      <c r="P111" s="482">
        <v>1</v>
      </c>
      <c r="Q111" s="484">
        <f t="shared" si="23"/>
        <v>0</v>
      </c>
      <c r="S111" s="130"/>
      <c r="T111" s="130"/>
    </row>
    <row r="112" spans="1:20" ht="15.75">
      <c r="A112" s="393"/>
      <c r="B112" s="424"/>
      <c r="C112" s="432" t="s">
        <v>558</v>
      </c>
      <c r="D112" s="390"/>
      <c r="I112" s="425">
        <f>ELITE!K25+ELITE!K26</f>
        <v>0</v>
      </c>
      <c r="J112" s="425">
        <v>2</v>
      </c>
      <c r="K112" s="425">
        <f t="shared" si="21"/>
        <v>0</v>
      </c>
      <c r="L112" s="467">
        <f>$L$41</f>
        <v>1.94</v>
      </c>
      <c r="M112" s="467">
        <f>$C$15</f>
        <v>0.5555555555555556</v>
      </c>
      <c r="N112" s="468">
        <f t="shared" si="22"/>
        <v>0</v>
      </c>
      <c r="O112" s="470">
        <f>N112</f>
        <v>0</v>
      </c>
      <c r="P112" s="482">
        <v>1</v>
      </c>
      <c r="Q112" s="484">
        <f t="shared" si="23"/>
        <v>0</v>
      </c>
      <c r="S112" s="130"/>
      <c r="T112" s="130"/>
    </row>
    <row r="113" spans="1:20" ht="15.75">
      <c r="A113" s="393"/>
      <c r="B113" s="424"/>
      <c r="C113" s="432" t="s">
        <v>553</v>
      </c>
      <c r="D113" s="390"/>
      <c r="I113" s="425">
        <f>ELITE!H29+ELITE!H30+ELITE!H31+ELITE!K27</f>
        <v>0</v>
      </c>
      <c r="J113" s="425">
        <v>1</v>
      </c>
      <c r="K113" s="425">
        <f t="shared" si="21"/>
        <v>0</v>
      </c>
      <c r="L113" s="467">
        <f>I17</f>
        <v>0</v>
      </c>
      <c r="M113" s="467">
        <f>$C$15</f>
        <v>0.5555555555555556</v>
      </c>
      <c r="N113" s="468">
        <f t="shared" si="22"/>
        <v>0</v>
      </c>
      <c r="O113" s="470"/>
      <c r="P113" s="482">
        <v>3</v>
      </c>
      <c r="Q113" s="484">
        <f t="shared" si="23"/>
        <v>0</v>
      </c>
      <c r="S113" s="130"/>
      <c r="T113" s="130"/>
    </row>
    <row r="114" spans="1:20" ht="15.75">
      <c r="A114" s="393"/>
      <c r="B114" s="424"/>
      <c r="C114" s="432" t="s">
        <v>554</v>
      </c>
      <c r="D114" s="390"/>
      <c r="I114" s="425">
        <f>ELITE!K27</f>
        <v>0</v>
      </c>
      <c r="J114" s="425">
        <v>1</v>
      </c>
      <c r="K114" s="425">
        <f t="shared" si="21"/>
        <v>0</v>
      </c>
      <c r="L114" s="467">
        <f>$L$41</f>
        <v>1.94</v>
      </c>
      <c r="M114" s="467">
        <f>$C$15</f>
        <v>0.5555555555555556</v>
      </c>
      <c r="N114" s="468">
        <f t="shared" si="22"/>
        <v>0</v>
      </c>
      <c r="O114" s="470">
        <f>N114</f>
        <v>0</v>
      </c>
      <c r="P114" s="482">
        <v>1</v>
      </c>
      <c r="Q114" s="484">
        <f t="shared" si="23"/>
        <v>0</v>
      </c>
      <c r="S114" s="130"/>
      <c r="T114" s="130"/>
    </row>
    <row r="115" spans="1:20" ht="15.75">
      <c r="A115" s="393">
        <v>3</v>
      </c>
      <c r="B115" s="424" t="s">
        <v>308</v>
      </c>
      <c r="C115" s="432"/>
      <c r="D115" s="390"/>
      <c r="I115" s="425"/>
      <c r="J115" s="425"/>
      <c r="K115" s="425"/>
      <c r="L115" s="467"/>
      <c r="M115" s="467"/>
      <c r="N115" s="468"/>
      <c r="O115" s="470"/>
      <c r="P115" s="482"/>
      <c r="Q115" s="484"/>
      <c r="S115" s="130"/>
      <c r="T115" s="130"/>
    </row>
    <row r="116" spans="1:20" ht="15.75">
      <c r="A116" s="393"/>
      <c r="B116" s="424"/>
      <c r="C116" s="432" t="s">
        <v>300</v>
      </c>
      <c r="D116" s="390"/>
      <c r="I116" s="425">
        <f>ELITE!K46</f>
        <v>0</v>
      </c>
      <c r="J116" s="425">
        <v>1</v>
      </c>
      <c r="K116" s="425">
        <f aca="true" t="shared" si="24" ref="K116:K123">I116*J116</f>
        <v>0</v>
      </c>
      <c r="L116" s="467">
        <f>$I$14</f>
        <v>0.83</v>
      </c>
      <c r="M116" s="467">
        <f>$C$22</f>
        <v>0.5555555555555556</v>
      </c>
      <c r="N116" s="468">
        <f aca="true" t="shared" si="25" ref="N116:N123">K116*L116*M116</f>
        <v>0</v>
      </c>
      <c r="O116" s="470"/>
      <c r="P116" s="482">
        <v>4</v>
      </c>
      <c r="Q116" s="484">
        <f aca="true" t="shared" si="26" ref="Q116:Q123">K116*P116</f>
        <v>0</v>
      </c>
      <c r="S116" s="130"/>
      <c r="T116" s="130"/>
    </row>
    <row r="117" spans="1:20" ht="15.75">
      <c r="A117" s="393"/>
      <c r="B117" s="424"/>
      <c r="C117" s="432" t="s">
        <v>528</v>
      </c>
      <c r="D117" s="390"/>
      <c r="I117" s="425">
        <f>ELITE!K48</f>
        <v>0</v>
      </c>
      <c r="J117" s="425">
        <v>1</v>
      </c>
      <c r="K117" s="425">
        <f t="shared" si="24"/>
        <v>0</v>
      </c>
      <c r="L117" s="467">
        <f>$I$14</f>
        <v>0.83</v>
      </c>
      <c r="M117" s="467">
        <f>$C$22</f>
        <v>0.5555555555555556</v>
      </c>
      <c r="N117" s="468">
        <f t="shared" si="25"/>
        <v>0</v>
      </c>
      <c r="O117" s="470"/>
      <c r="P117" s="482">
        <v>4</v>
      </c>
      <c r="Q117" s="484">
        <f t="shared" si="26"/>
        <v>0</v>
      </c>
      <c r="S117" s="130"/>
      <c r="T117" s="130"/>
    </row>
    <row r="118" spans="1:20" ht="15.75">
      <c r="A118" s="393"/>
      <c r="B118" s="424"/>
      <c r="C118" s="432" t="s">
        <v>529</v>
      </c>
      <c r="D118" s="390"/>
      <c r="I118" s="425">
        <f>ELITE!K50</f>
        <v>0</v>
      </c>
      <c r="J118" s="425">
        <v>1</v>
      </c>
      <c r="K118" s="425">
        <f t="shared" si="24"/>
        <v>0</v>
      </c>
      <c r="L118" s="467">
        <f>$I$14</f>
        <v>0.83</v>
      </c>
      <c r="M118" s="467">
        <f>$C$22</f>
        <v>0.5555555555555556</v>
      </c>
      <c r="N118" s="468">
        <f t="shared" si="25"/>
        <v>0</v>
      </c>
      <c r="O118" s="470">
        <f aca="true" t="shared" si="27" ref="O118:O123">N118</f>
        <v>0</v>
      </c>
      <c r="P118" s="482">
        <v>4</v>
      </c>
      <c r="Q118" s="484">
        <f t="shared" si="26"/>
        <v>0</v>
      </c>
      <c r="S118" s="130"/>
      <c r="T118" s="130"/>
    </row>
    <row r="119" spans="1:20" ht="15.75">
      <c r="A119" s="393"/>
      <c r="B119" s="424"/>
      <c r="C119" s="432" t="s">
        <v>492</v>
      </c>
      <c r="D119" s="390"/>
      <c r="I119" s="425">
        <f>ELITE!K52</f>
        <v>0</v>
      </c>
      <c r="J119" s="425">
        <v>1</v>
      </c>
      <c r="K119" s="425">
        <f t="shared" si="24"/>
        <v>0</v>
      </c>
      <c r="L119" s="467">
        <f>$I$14</f>
        <v>0.83</v>
      </c>
      <c r="M119" s="467">
        <f>$C$22</f>
        <v>0.5555555555555556</v>
      </c>
      <c r="N119" s="468">
        <f t="shared" si="25"/>
        <v>0</v>
      </c>
      <c r="O119" s="470">
        <f t="shared" si="27"/>
        <v>0</v>
      </c>
      <c r="P119" s="482">
        <v>4</v>
      </c>
      <c r="Q119" s="484">
        <f t="shared" si="26"/>
        <v>0</v>
      </c>
      <c r="S119" s="130"/>
      <c r="T119" s="130"/>
    </row>
    <row r="120" spans="1:20" ht="15.75">
      <c r="A120" s="393"/>
      <c r="B120" s="424"/>
      <c r="C120" s="432" t="s">
        <v>504</v>
      </c>
      <c r="D120" s="390"/>
      <c r="I120" s="425">
        <f>ELITE!K54+ELITE!K55</f>
        <v>0</v>
      </c>
      <c r="J120" s="425">
        <v>2</v>
      </c>
      <c r="K120" s="425">
        <f t="shared" si="24"/>
        <v>0</v>
      </c>
      <c r="L120" s="467">
        <f>L41</f>
        <v>1.94</v>
      </c>
      <c r="M120" s="467">
        <f>$C$15</f>
        <v>0.5555555555555556</v>
      </c>
      <c r="N120" s="468">
        <f t="shared" si="25"/>
        <v>0</v>
      </c>
      <c r="O120" s="470">
        <f t="shared" si="27"/>
        <v>0</v>
      </c>
      <c r="P120" s="482">
        <v>1</v>
      </c>
      <c r="Q120" s="484">
        <f t="shared" si="26"/>
        <v>0</v>
      </c>
      <c r="S120" s="130"/>
      <c r="T120" s="130"/>
    </row>
    <row r="121" spans="1:20" ht="15.75">
      <c r="A121" s="393"/>
      <c r="B121" s="424"/>
      <c r="C121" s="432" t="s">
        <v>268</v>
      </c>
      <c r="D121" s="390"/>
      <c r="I121" s="425">
        <f>ELITE!K56</f>
        <v>0</v>
      </c>
      <c r="J121" s="425">
        <v>1</v>
      </c>
      <c r="K121" s="425">
        <f t="shared" si="24"/>
        <v>0</v>
      </c>
      <c r="L121" s="467">
        <f>$I$14</f>
        <v>0.83</v>
      </c>
      <c r="M121" s="467">
        <f>$C$22</f>
        <v>0.5555555555555556</v>
      </c>
      <c r="N121" s="468">
        <f t="shared" si="25"/>
        <v>0</v>
      </c>
      <c r="O121" s="470">
        <f t="shared" si="27"/>
        <v>0</v>
      </c>
      <c r="P121" s="482">
        <v>4</v>
      </c>
      <c r="Q121" s="484">
        <f t="shared" si="26"/>
        <v>0</v>
      </c>
      <c r="S121" s="130"/>
      <c r="T121" s="130"/>
    </row>
    <row r="122" spans="1:20" ht="15.75">
      <c r="A122" s="393"/>
      <c r="B122" s="424"/>
      <c r="C122" s="432" t="s">
        <v>541</v>
      </c>
      <c r="D122" s="390"/>
      <c r="I122" s="425">
        <f>ELITE!K58</f>
        <v>0</v>
      </c>
      <c r="J122" s="425">
        <v>1</v>
      </c>
      <c r="K122" s="425">
        <f t="shared" si="24"/>
        <v>0</v>
      </c>
      <c r="L122" s="467">
        <f>L121</f>
        <v>0.83</v>
      </c>
      <c r="M122" s="467">
        <f>$C$22</f>
        <v>0.5555555555555556</v>
      </c>
      <c r="N122" s="468">
        <f t="shared" si="25"/>
        <v>0</v>
      </c>
      <c r="O122" s="470">
        <f t="shared" si="27"/>
        <v>0</v>
      </c>
      <c r="P122" s="482">
        <v>4</v>
      </c>
      <c r="Q122" s="484">
        <f t="shared" si="26"/>
        <v>0</v>
      </c>
      <c r="S122" s="130"/>
      <c r="T122" s="130"/>
    </row>
    <row r="123" spans="1:20" ht="15.75">
      <c r="A123" s="393"/>
      <c r="B123" s="424"/>
      <c r="C123" s="432" t="s">
        <v>169</v>
      </c>
      <c r="D123" s="390"/>
      <c r="I123" s="425">
        <f>ELITE!K60+ELITE!K61</f>
        <v>0</v>
      </c>
      <c r="J123" s="425">
        <v>2</v>
      </c>
      <c r="K123" s="425">
        <f t="shared" si="24"/>
        <v>0</v>
      </c>
      <c r="L123" s="467">
        <f>L120</f>
        <v>1.94</v>
      </c>
      <c r="M123" s="467">
        <f>$C$15</f>
        <v>0.5555555555555556</v>
      </c>
      <c r="N123" s="468">
        <f t="shared" si="25"/>
        <v>0</v>
      </c>
      <c r="O123" s="470">
        <f t="shared" si="27"/>
        <v>0</v>
      </c>
      <c r="P123" s="482">
        <v>1</v>
      </c>
      <c r="Q123" s="484">
        <f t="shared" si="26"/>
        <v>0</v>
      </c>
      <c r="S123" s="130"/>
      <c r="T123" s="130"/>
    </row>
    <row r="124" spans="1:20" ht="15.75">
      <c r="A124" s="393"/>
      <c r="B124" s="424"/>
      <c r="C124" s="432"/>
      <c r="D124" s="390"/>
      <c r="I124" s="425"/>
      <c r="J124" s="425"/>
      <c r="K124" s="425"/>
      <c r="L124" s="467"/>
      <c r="M124" s="467"/>
      <c r="N124" s="468"/>
      <c r="O124" s="470"/>
      <c r="P124" s="482"/>
      <c r="Q124" s="484"/>
      <c r="S124" s="130"/>
      <c r="T124" s="130"/>
    </row>
    <row r="125" spans="1:20" ht="15.75">
      <c r="A125" s="393"/>
      <c r="B125" s="424"/>
      <c r="C125" s="432"/>
      <c r="D125" s="390"/>
      <c r="I125" s="425"/>
      <c r="J125" s="425"/>
      <c r="K125" s="425"/>
      <c r="L125" s="467"/>
      <c r="M125" s="467"/>
      <c r="N125" s="468"/>
      <c r="O125" s="470"/>
      <c r="P125" s="482"/>
      <c r="Q125" s="484"/>
      <c r="S125" s="130"/>
      <c r="T125" s="130"/>
    </row>
    <row r="126" spans="1:20" ht="13.5" thickBot="1">
      <c r="A126" s="393">
        <v>3</v>
      </c>
      <c r="B126" s="390"/>
      <c r="C126" s="390"/>
      <c r="D126" s="390"/>
      <c r="I126" s="425"/>
      <c r="J126" s="425"/>
      <c r="K126" s="425">
        <f>I126*J126</f>
        <v>0</v>
      </c>
      <c r="L126" s="467"/>
      <c r="M126" s="467"/>
      <c r="N126" s="468"/>
      <c r="O126" s="469"/>
      <c r="P126" s="482"/>
      <c r="Q126" s="483"/>
      <c r="S126" s="16"/>
      <c r="T126" s="16"/>
    </row>
    <row r="127" spans="1:23" ht="13.5" thickBot="1">
      <c r="A127" s="395"/>
      <c r="B127" s="388" t="s">
        <v>15</v>
      </c>
      <c r="C127" s="388"/>
      <c r="D127" s="398"/>
      <c r="E127" s="398"/>
      <c r="F127" s="398"/>
      <c r="G127" s="398"/>
      <c r="H127" s="428"/>
      <c r="I127" s="381">
        <f>SUM(I128:I143)</f>
        <v>0</v>
      </c>
      <c r="J127" s="381"/>
      <c r="K127" s="381">
        <f>SUM(K128:K143)</f>
        <v>0</v>
      </c>
      <c r="L127" s="436">
        <f>SUM(L128:L143)</f>
        <v>13.29</v>
      </c>
      <c r="M127" s="436">
        <f>SUM(M128:M143)</f>
        <v>6.666666666666665</v>
      </c>
      <c r="N127" s="471">
        <f>SUM(N128:N143)</f>
        <v>0</v>
      </c>
      <c r="O127" s="471">
        <f>SUM(O128:O143)</f>
        <v>0</v>
      </c>
      <c r="P127" s="502"/>
      <c r="Q127" s="503">
        <f>SUM(Q128:Q143)</f>
        <v>0</v>
      </c>
      <c r="R127" s="496"/>
      <c r="S127" s="17"/>
      <c r="T127" s="17"/>
      <c r="U127" s="47"/>
      <c r="V127" s="47"/>
      <c r="W127" s="47"/>
    </row>
    <row r="128" spans="1:25" ht="15.75">
      <c r="A128" s="393">
        <v>1</v>
      </c>
      <c r="B128" s="424" t="s">
        <v>443</v>
      </c>
      <c r="C128" s="390"/>
      <c r="D128" s="432"/>
      <c r="I128" s="425"/>
      <c r="J128" s="425"/>
      <c r="K128" s="425"/>
      <c r="L128" s="467"/>
      <c r="M128" s="467"/>
      <c r="N128" s="468"/>
      <c r="O128" s="469"/>
      <c r="P128" s="482"/>
      <c r="Q128" s="483"/>
      <c r="R128" s="496"/>
      <c r="S128" s="17"/>
      <c r="T128" s="17"/>
      <c r="U128" s="17"/>
      <c r="V128" s="17"/>
      <c r="W128" s="17"/>
      <c r="X128" s="16"/>
      <c r="Y128" s="16"/>
    </row>
    <row r="129" spans="1:25" ht="12.75">
      <c r="A129" s="393"/>
      <c r="B129" s="432"/>
      <c r="C129" s="390" t="s">
        <v>566</v>
      </c>
      <c r="D129" s="432"/>
      <c r="I129" s="425">
        <f>'A.RAPIDO'!K5</f>
        <v>0</v>
      </c>
      <c r="J129" s="425">
        <v>1</v>
      </c>
      <c r="K129" s="425">
        <f>J129*(I129)</f>
        <v>0</v>
      </c>
      <c r="L129" s="467">
        <f>$L$79</f>
        <v>0.83</v>
      </c>
      <c r="M129" s="467">
        <f>$C$22</f>
        <v>0.5555555555555556</v>
      </c>
      <c r="N129" s="468">
        <f>K129*L129*M129</f>
        <v>0</v>
      </c>
      <c r="O129" s="469"/>
      <c r="P129" s="482">
        <v>4</v>
      </c>
      <c r="Q129" s="483">
        <f>K129*P129</f>
        <v>0</v>
      </c>
      <c r="R129" s="487"/>
      <c r="S129" s="48"/>
      <c r="T129" s="48"/>
      <c r="U129" s="48"/>
      <c r="V129" s="48"/>
      <c r="W129" s="48"/>
      <c r="X129" s="16"/>
      <c r="Y129" s="16"/>
    </row>
    <row r="130" spans="1:25" ht="12.75">
      <c r="A130" s="393"/>
      <c r="B130" s="432"/>
      <c r="C130" s="390" t="s">
        <v>563</v>
      </c>
      <c r="D130" s="432"/>
      <c r="I130" s="425">
        <f>'A.RAPIDO'!K6</f>
        <v>0</v>
      </c>
      <c r="J130" s="425">
        <v>1</v>
      </c>
      <c r="K130" s="425">
        <f>J130*(I130)</f>
        <v>0</v>
      </c>
      <c r="L130" s="467">
        <f>$L$79</f>
        <v>0.83</v>
      </c>
      <c r="M130" s="467">
        <f>$C$22</f>
        <v>0.5555555555555556</v>
      </c>
      <c r="N130" s="468">
        <f>K130*L130*M130</f>
        <v>0</v>
      </c>
      <c r="O130" s="469"/>
      <c r="P130" s="482">
        <v>4</v>
      </c>
      <c r="Q130" s="483">
        <f>K130*P130</f>
        <v>0</v>
      </c>
      <c r="R130" s="487"/>
      <c r="S130" s="48"/>
      <c r="T130" s="48"/>
      <c r="U130" s="48"/>
      <c r="V130" s="48"/>
      <c r="W130" s="48"/>
      <c r="X130" s="16"/>
      <c r="Y130" s="16"/>
    </row>
    <row r="131" spans="1:25" ht="12.75">
      <c r="A131" s="393"/>
      <c r="B131" s="432"/>
      <c r="C131" s="432" t="s">
        <v>492</v>
      </c>
      <c r="D131" s="432"/>
      <c r="I131" s="425">
        <f>'A.RAPIDO'!K8</f>
        <v>0</v>
      </c>
      <c r="J131" s="425">
        <v>1</v>
      </c>
      <c r="K131" s="425">
        <f>J131*(I131)</f>
        <v>0</v>
      </c>
      <c r="L131" s="467">
        <f>$L$79</f>
        <v>0.83</v>
      </c>
      <c r="M131" s="467">
        <f>$C$22</f>
        <v>0.5555555555555556</v>
      </c>
      <c r="N131" s="468">
        <f>K131*L131*M131</f>
        <v>0</v>
      </c>
      <c r="O131" s="470">
        <f>N131</f>
        <v>0</v>
      </c>
      <c r="P131" s="482">
        <v>4</v>
      </c>
      <c r="Q131" s="483">
        <f>K131*P131</f>
        <v>0</v>
      </c>
      <c r="R131" s="487"/>
      <c r="S131" s="48"/>
      <c r="T131" s="48"/>
      <c r="U131" s="48"/>
      <c r="V131" s="48"/>
      <c r="W131" s="48"/>
      <c r="X131" s="16"/>
      <c r="Y131" s="16"/>
    </row>
    <row r="132" spans="1:25" ht="12.75">
      <c r="A132" s="393"/>
      <c r="B132" s="432"/>
      <c r="C132" s="432" t="s">
        <v>504</v>
      </c>
      <c r="D132" s="432"/>
      <c r="I132" s="425">
        <f>'A.RAPIDO'!K10+'A.RAPIDO'!K11</f>
        <v>0</v>
      </c>
      <c r="J132" s="425">
        <v>2</v>
      </c>
      <c r="K132" s="425">
        <f>J132*(I132)</f>
        <v>0</v>
      </c>
      <c r="L132" s="467">
        <f>L41</f>
        <v>1.94</v>
      </c>
      <c r="M132" s="467">
        <f>$C$15</f>
        <v>0.5555555555555556</v>
      </c>
      <c r="N132" s="468">
        <f>K132*L132*M132</f>
        <v>0</v>
      </c>
      <c r="O132" s="470">
        <f>N132</f>
        <v>0</v>
      </c>
      <c r="P132" s="482">
        <v>1</v>
      </c>
      <c r="Q132" s="483">
        <f>K132*P132</f>
        <v>0</v>
      </c>
      <c r="R132" s="487"/>
      <c r="S132" s="48"/>
      <c r="T132" s="48"/>
      <c r="U132" s="48"/>
      <c r="V132" s="48"/>
      <c r="W132" s="48"/>
      <c r="X132" s="16"/>
      <c r="Y132" s="16"/>
    </row>
    <row r="133" spans="1:25" ht="15.75">
      <c r="A133" s="393">
        <v>2</v>
      </c>
      <c r="B133" s="424" t="s">
        <v>444</v>
      </c>
      <c r="C133" s="390"/>
      <c r="D133" s="390"/>
      <c r="I133" s="425"/>
      <c r="J133" s="425"/>
      <c r="K133" s="425"/>
      <c r="L133" s="467"/>
      <c r="M133" s="467"/>
      <c r="N133" s="468"/>
      <c r="O133" s="469"/>
      <c r="P133" s="482"/>
      <c r="Q133" s="483"/>
      <c r="R133" s="487"/>
      <c r="S133" s="48"/>
      <c r="T133" s="48"/>
      <c r="U133" s="49"/>
      <c r="V133" s="48"/>
      <c r="W133" s="48"/>
      <c r="X133" s="16"/>
      <c r="Y133" s="16"/>
    </row>
    <row r="134" spans="1:25" ht="15.75">
      <c r="A134" s="393"/>
      <c r="B134" s="424"/>
      <c r="C134" s="390" t="s">
        <v>576</v>
      </c>
      <c r="D134" s="390"/>
      <c r="I134" s="425">
        <f>'A.RAPIDO'!K16</f>
        <v>0</v>
      </c>
      <c r="J134" s="425">
        <v>1</v>
      </c>
      <c r="K134" s="425">
        <f aca="true" t="shared" si="28" ref="K134:K141">J134*(I134)</f>
        <v>0</v>
      </c>
      <c r="L134" s="467">
        <f>$L$79</f>
        <v>0.83</v>
      </c>
      <c r="M134" s="467">
        <f>M129</f>
        <v>0.5555555555555556</v>
      </c>
      <c r="N134" s="468">
        <f aca="true" t="shared" si="29" ref="N134:N141">K134*L134*M134</f>
        <v>0</v>
      </c>
      <c r="O134" s="469"/>
      <c r="P134" s="482">
        <v>4</v>
      </c>
      <c r="Q134" s="483">
        <f aca="true" t="shared" si="30" ref="Q134:Q141">K134*P134</f>
        <v>0</v>
      </c>
      <c r="R134" s="487"/>
      <c r="S134" s="48"/>
      <c r="T134" s="48"/>
      <c r="U134" s="49"/>
      <c r="V134" s="48"/>
      <c r="W134" s="48"/>
      <c r="X134" s="16"/>
      <c r="Y134" s="16"/>
    </row>
    <row r="135" spans="1:25" ht="15.75">
      <c r="A135" s="393"/>
      <c r="B135" s="424"/>
      <c r="C135" s="390" t="s">
        <v>563</v>
      </c>
      <c r="D135" s="390"/>
      <c r="I135" s="425">
        <f>'A.RAPIDO'!K17</f>
        <v>0</v>
      </c>
      <c r="J135" s="425">
        <v>1</v>
      </c>
      <c r="K135" s="425">
        <f t="shared" si="28"/>
        <v>0</v>
      </c>
      <c r="L135" s="467">
        <f>$L$79</f>
        <v>0.83</v>
      </c>
      <c r="M135" s="467">
        <f>M130</f>
        <v>0.5555555555555556</v>
      </c>
      <c r="N135" s="468">
        <f t="shared" si="29"/>
        <v>0</v>
      </c>
      <c r="O135" s="469"/>
      <c r="P135" s="482">
        <v>4</v>
      </c>
      <c r="Q135" s="483">
        <f t="shared" si="30"/>
        <v>0</v>
      </c>
      <c r="R135" s="487"/>
      <c r="S135" s="48"/>
      <c r="T135" s="48"/>
      <c r="U135" s="49"/>
      <c r="V135" s="48"/>
      <c r="W135" s="48"/>
      <c r="X135" s="16"/>
      <c r="Y135" s="16"/>
    </row>
    <row r="136" spans="1:25" ht="15.75">
      <c r="A136" s="393"/>
      <c r="B136" s="424"/>
      <c r="C136" s="432" t="s">
        <v>492</v>
      </c>
      <c r="D136" s="390"/>
      <c r="I136" s="425">
        <f>'A.RAPIDO'!K19</f>
        <v>0</v>
      </c>
      <c r="J136" s="425">
        <v>1</v>
      </c>
      <c r="K136" s="425">
        <f t="shared" si="28"/>
        <v>0</v>
      </c>
      <c r="L136" s="467">
        <f>$L$79</f>
        <v>0.83</v>
      </c>
      <c r="M136" s="467">
        <f>M131</f>
        <v>0.5555555555555556</v>
      </c>
      <c r="N136" s="468">
        <f t="shared" si="29"/>
        <v>0</v>
      </c>
      <c r="O136" s="470">
        <f>N136</f>
        <v>0</v>
      </c>
      <c r="P136" s="482">
        <v>4</v>
      </c>
      <c r="Q136" s="483">
        <f t="shared" si="30"/>
        <v>0</v>
      </c>
      <c r="R136" s="487"/>
      <c r="S136" s="48"/>
      <c r="T136" s="48"/>
      <c r="U136" s="49"/>
      <c r="V136" s="48"/>
      <c r="W136" s="48"/>
      <c r="X136" s="16"/>
      <c r="Y136" s="16"/>
    </row>
    <row r="137" spans="1:25" ht="15.75">
      <c r="A137" s="393"/>
      <c r="B137" s="424"/>
      <c r="C137" s="432" t="s">
        <v>504</v>
      </c>
      <c r="D137" s="390"/>
      <c r="I137" s="425">
        <f>'A.RAPIDO'!K21+'A.RAPIDO'!K22</f>
        <v>0</v>
      </c>
      <c r="J137" s="425">
        <v>2</v>
      </c>
      <c r="K137" s="425">
        <f t="shared" si="28"/>
        <v>0</v>
      </c>
      <c r="L137" s="467">
        <f>L132</f>
        <v>1.94</v>
      </c>
      <c r="M137" s="467">
        <f>$C$15</f>
        <v>0.5555555555555556</v>
      </c>
      <c r="N137" s="468">
        <f t="shared" si="29"/>
        <v>0</v>
      </c>
      <c r="O137" s="470">
        <f>N137</f>
        <v>0</v>
      </c>
      <c r="P137" s="482">
        <v>1</v>
      </c>
      <c r="Q137" s="483">
        <f t="shared" si="30"/>
        <v>0</v>
      </c>
      <c r="R137" s="487"/>
      <c r="S137" s="48"/>
      <c r="T137" s="48"/>
      <c r="U137" s="49"/>
      <c r="V137" s="48"/>
      <c r="W137" s="48"/>
      <c r="X137" s="16"/>
      <c r="Y137" s="16"/>
    </row>
    <row r="138" spans="1:25" ht="15.75">
      <c r="A138" s="393"/>
      <c r="B138" s="424"/>
      <c r="C138" s="111" t="s">
        <v>576</v>
      </c>
      <c r="D138" s="390"/>
      <c r="I138" s="425">
        <f>'A.RAPIDO'!L16</f>
        <v>0</v>
      </c>
      <c r="J138" s="425">
        <v>1</v>
      </c>
      <c r="K138" s="425">
        <f t="shared" si="28"/>
        <v>0</v>
      </c>
      <c r="L138" s="467">
        <f>$L$79</f>
        <v>0.83</v>
      </c>
      <c r="M138" s="467">
        <f>M134</f>
        <v>0.5555555555555556</v>
      </c>
      <c r="N138" s="468">
        <f t="shared" si="29"/>
        <v>0</v>
      </c>
      <c r="O138" s="469"/>
      <c r="P138" s="482">
        <v>4</v>
      </c>
      <c r="Q138" s="483">
        <f t="shared" si="30"/>
        <v>0</v>
      </c>
      <c r="R138" s="487"/>
      <c r="S138" s="48"/>
      <c r="T138" s="48"/>
      <c r="U138" s="49"/>
      <c r="V138" s="48"/>
      <c r="W138" s="48"/>
      <c r="X138" s="16"/>
      <c r="Y138" s="16"/>
    </row>
    <row r="139" spans="1:25" ht="15.75">
      <c r="A139" s="393"/>
      <c r="B139" s="424"/>
      <c r="C139" s="111" t="s">
        <v>563</v>
      </c>
      <c r="D139" s="390"/>
      <c r="I139" s="425">
        <f>'A.RAPIDO'!L17</f>
        <v>0</v>
      </c>
      <c r="J139" s="425">
        <v>1</v>
      </c>
      <c r="K139" s="425">
        <f t="shared" si="28"/>
        <v>0</v>
      </c>
      <c r="L139" s="467">
        <f>$L$79</f>
        <v>0.83</v>
      </c>
      <c r="M139" s="467">
        <f>M135</f>
        <v>0.5555555555555556</v>
      </c>
      <c r="N139" s="468">
        <f t="shared" si="29"/>
        <v>0</v>
      </c>
      <c r="O139" s="469"/>
      <c r="P139" s="482">
        <v>4</v>
      </c>
      <c r="Q139" s="483">
        <f t="shared" si="30"/>
        <v>0</v>
      </c>
      <c r="R139" s="487"/>
      <c r="S139" s="48"/>
      <c r="T139" s="48"/>
      <c r="U139" s="49"/>
      <c r="V139" s="48"/>
      <c r="W139" s="48"/>
      <c r="X139" s="16"/>
      <c r="Y139" s="16"/>
    </row>
    <row r="140" spans="1:25" ht="15.75">
      <c r="A140" s="393"/>
      <c r="B140" s="424"/>
      <c r="C140" s="111" t="s">
        <v>492</v>
      </c>
      <c r="D140" s="390"/>
      <c r="I140" s="425">
        <f>'A.RAPIDO'!L19</f>
        <v>0</v>
      </c>
      <c r="J140" s="425">
        <v>1</v>
      </c>
      <c r="K140" s="425">
        <f t="shared" si="28"/>
        <v>0</v>
      </c>
      <c r="L140" s="467">
        <f>$L$79</f>
        <v>0.83</v>
      </c>
      <c r="M140" s="467">
        <f>M136</f>
        <v>0.5555555555555556</v>
      </c>
      <c r="N140" s="468">
        <f t="shared" si="29"/>
        <v>0</v>
      </c>
      <c r="O140" s="470">
        <f>N140</f>
        <v>0</v>
      </c>
      <c r="P140" s="482">
        <v>4</v>
      </c>
      <c r="Q140" s="483">
        <f t="shared" si="30"/>
        <v>0</v>
      </c>
      <c r="R140" s="487"/>
      <c r="S140" s="48"/>
      <c r="T140" s="48"/>
      <c r="U140" s="49"/>
      <c r="V140" s="48"/>
      <c r="W140" s="48"/>
      <c r="X140" s="16"/>
      <c r="Y140" s="16"/>
    </row>
    <row r="141" spans="1:25" ht="15.75">
      <c r="A141" s="393"/>
      <c r="B141" s="424"/>
      <c r="C141" s="111" t="s">
        <v>504</v>
      </c>
      <c r="D141" s="390"/>
      <c r="I141" s="425">
        <f>'A.RAPIDO'!L21+'A.RAPIDO'!L22</f>
        <v>0</v>
      </c>
      <c r="J141" s="425">
        <v>3</v>
      </c>
      <c r="K141" s="425">
        <f t="shared" si="28"/>
        <v>0</v>
      </c>
      <c r="L141" s="467">
        <f>L132</f>
        <v>1.94</v>
      </c>
      <c r="M141" s="467">
        <f>M137</f>
        <v>0.5555555555555556</v>
      </c>
      <c r="N141" s="468">
        <f t="shared" si="29"/>
        <v>0</v>
      </c>
      <c r="O141" s="470">
        <f>N141</f>
        <v>0</v>
      </c>
      <c r="P141" s="482">
        <v>1</v>
      </c>
      <c r="Q141" s="483">
        <f t="shared" si="30"/>
        <v>0</v>
      </c>
      <c r="R141" s="487"/>
      <c r="S141" s="48"/>
      <c r="T141" s="48"/>
      <c r="U141" s="49"/>
      <c r="V141" s="48"/>
      <c r="W141" s="48"/>
      <c r="X141" s="16"/>
      <c r="Y141" s="16"/>
    </row>
    <row r="142" spans="1:25" ht="15.75">
      <c r="A142" s="393"/>
      <c r="B142" s="424"/>
      <c r="C142" s="390"/>
      <c r="D142" s="390"/>
      <c r="I142" s="425"/>
      <c r="J142" s="425"/>
      <c r="K142" s="425"/>
      <c r="L142" s="467"/>
      <c r="M142" s="467"/>
      <c r="N142" s="468"/>
      <c r="O142" s="469"/>
      <c r="P142" s="482"/>
      <c r="Q142" s="483"/>
      <c r="R142" s="487"/>
      <c r="S142" s="48"/>
      <c r="T142" s="48"/>
      <c r="U142" s="49"/>
      <c r="V142" s="48"/>
      <c r="W142" s="48"/>
      <c r="X142" s="16"/>
      <c r="Y142" s="16"/>
    </row>
    <row r="143" spans="1:25" ht="13.5" thickBot="1">
      <c r="A143" s="393">
        <v>3</v>
      </c>
      <c r="B143" s="390"/>
      <c r="C143" s="390"/>
      <c r="D143" s="390"/>
      <c r="I143" s="425"/>
      <c r="J143" s="425"/>
      <c r="K143" s="425">
        <f>J143*(I143)</f>
        <v>0</v>
      </c>
      <c r="L143" s="467"/>
      <c r="M143" s="467"/>
      <c r="N143" s="468"/>
      <c r="O143" s="469"/>
      <c r="P143" s="482"/>
      <c r="Q143" s="483"/>
      <c r="R143" s="487"/>
      <c r="S143" s="48"/>
      <c r="T143" s="48"/>
      <c r="U143" s="48"/>
      <c r="V143" s="48"/>
      <c r="W143" s="48"/>
      <c r="X143" s="16"/>
      <c r="Y143" s="16"/>
    </row>
    <row r="144" spans="1:25" ht="13.5" thickBot="1">
      <c r="A144" s="389"/>
      <c r="B144" s="388" t="s">
        <v>16</v>
      </c>
      <c r="C144" s="398"/>
      <c r="D144" s="398"/>
      <c r="E144" s="398"/>
      <c r="F144" s="398"/>
      <c r="G144" s="398"/>
      <c r="H144" s="428"/>
      <c r="I144" s="381">
        <f>SUM(I145:I154)</f>
        <v>0</v>
      </c>
      <c r="J144" s="381"/>
      <c r="K144" s="381">
        <f>SUM(K145:K154)</f>
        <v>0</v>
      </c>
      <c r="L144" s="436">
        <f>SUM(L145:L154)</f>
        <v>12.330000000000002</v>
      </c>
      <c r="M144" s="436">
        <f>SUM(M145:M154)</f>
        <v>4.444444444444444</v>
      </c>
      <c r="N144" s="471">
        <f>SUM(N145:N154)</f>
        <v>0</v>
      </c>
      <c r="O144" s="471">
        <f>SUM(O145:O154)</f>
        <v>0</v>
      </c>
      <c r="P144" s="502"/>
      <c r="Q144" s="503">
        <f>SUM(Q145:Q154)</f>
        <v>0</v>
      </c>
      <c r="R144" s="487"/>
      <c r="S144" s="48"/>
      <c r="T144" s="48"/>
      <c r="U144" s="48"/>
      <c r="V144" s="48"/>
      <c r="W144" s="48"/>
      <c r="X144" s="16"/>
      <c r="Y144" s="16"/>
    </row>
    <row r="145" spans="1:25" ht="15.75">
      <c r="A145" s="393">
        <v>1</v>
      </c>
      <c r="B145" s="424" t="s">
        <v>447</v>
      </c>
      <c r="C145" s="390"/>
      <c r="D145" s="390"/>
      <c r="I145" s="425"/>
      <c r="J145" s="425"/>
      <c r="K145" s="425"/>
      <c r="L145" s="467"/>
      <c r="M145" s="467"/>
      <c r="N145" s="472"/>
      <c r="O145" s="469"/>
      <c r="P145" s="482"/>
      <c r="Q145" s="483"/>
      <c r="R145" s="487"/>
      <c r="S145" s="48"/>
      <c r="T145" s="48"/>
      <c r="U145" s="48"/>
      <c r="V145" s="48"/>
      <c r="W145" s="48"/>
      <c r="X145" s="16"/>
      <c r="Y145" s="16"/>
    </row>
    <row r="146" spans="1:25" ht="12.75">
      <c r="A146" s="393"/>
      <c r="B146" s="390"/>
      <c r="C146" s="390" t="s">
        <v>537</v>
      </c>
      <c r="D146" s="390"/>
      <c r="I146" s="425">
        <f>'A.PESADO'!K5</f>
        <v>0</v>
      </c>
      <c r="J146" s="425">
        <v>1</v>
      </c>
      <c r="K146" s="425">
        <f aca="true" t="shared" si="31" ref="K146:K154">J146*(I146)</f>
        <v>0</v>
      </c>
      <c r="L146" s="467">
        <f>$L$74</f>
        <v>0.83</v>
      </c>
      <c r="M146" s="468">
        <f>$C$22</f>
        <v>0.5555555555555556</v>
      </c>
      <c r="N146" s="425">
        <f aca="true" t="shared" si="32" ref="N146:N153">K146*L146*M146</f>
        <v>0</v>
      </c>
      <c r="O146" s="469"/>
      <c r="P146" s="482">
        <v>4</v>
      </c>
      <c r="Q146" s="483">
        <f aca="true" t="shared" si="33" ref="Q146:Q153">K146*P146</f>
        <v>0</v>
      </c>
      <c r="R146" s="488"/>
      <c r="S146" s="48"/>
      <c r="T146" s="48"/>
      <c r="U146" s="48"/>
      <c r="V146" s="48"/>
      <c r="W146" s="48"/>
      <c r="X146" s="16"/>
      <c r="Y146" s="16"/>
    </row>
    <row r="147" spans="1:25" ht="12.75">
      <c r="A147" s="393"/>
      <c r="B147" s="390"/>
      <c r="C147" s="390" t="s">
        <v>536</v>
      </c>
      <c r="D147" s="390"/>
      <c r="I147" s="425">
        <f>'A.PESADO'!K6</f>
        <v>0</v>
      </c>
      <c r="J147" s="425">
        <v>1</v>
      </c>
      <c r="K147" s="425">
        <f t="shared" si="31"/>
        <v>0</v>
      </c>
      <c r="L147" s="467">
        <f>$L$74</f>
        <v>0.83</v>
      </c>
      <c r="M147" s="468">
        <f>$C$22</f>
        <v>0.5555555555555556</v>
      </c>
      <c r="N147" s="425">
        <f t="shared" si="32"/>
        <v>0</v>
      </c>
      <c r="O147" s="469"/>
      <c r="P147" s="482">
        <v>4</v>
      </c>
      <c r="Q147" s="483">
        <f t="shared" si="33"/>
        <v>0</v>
      </c>
      <c r="R147" s="487"/>
      <c r="S147" s="48"/>
      <c r="T147" s="48"/>
      <c r="U147" s="50"/>
      <c r="V147" s="48"/>
      <c r="W147" s="48"/>
      <c r="X147" s="16"/>
      <c r="Y147" s="16"/>
    </row>
    <row r="148" spans="1:25" ht="12.75">
      <c r="A148" s="393"/>
      <c r="B148" s="390"/>
      <c r="C148" s="368" t="s">
        <v>535</v>
      </c>
      <c r="D148" s="390"/>
      <c r="I148" s="425">
        <f>'A.PESADO'!K8</f>
        <v>0</v>
      </c>
      <c r="J148" s="425">
        <v>1</v>
      </c>
      <c r="K148" s="425">
        <f t="shared" si="31"/>
        <v>0</v>
      </c>
      <c r="L148" s="467">
        <f>$L$74</f>
        <v>0.83</v>
      </c>
      <c r="M148" s="468">
        <f>$C$22</f>
        <v>0.5555555555555556</v>
      </c>
      <c r="N148" s="425">
        <f t="shared" si="32"/>
        <v>0</v>
      </c>
      <c r="O148" s="469"/>
      <c r="P148" s="482">
        <v>4</v>
      </c>
      <c r="Q148" s="483">
        <f t="shared" si="33"/>
        <v>0</v>
      </c>
      <c r="R148" s="487"/>
      <c r="S148" s="48"/>
      <c r="T148" s="48"/>
      <c r="U148" s="50"/>
      <c r="V148" s="48"/>
      <c r="W148" s="48"/>
      <c r="X148" s="16"/>
      <c r="Y148" s="16"/>
    </row>
    <row r="149" spans="1:25" ht="12.75">
      <c r="A149" s="393"/>
      <c r="B149" s="390"/>
      <c r="C149" s="432" t="s">
        <v>492</v>
      </c>
      <c r="D149" s="390"/>
      <c r="I149" s="425">
        <f>'A.PESADO'!K12</f>
        <v>0</v>
      </c>
      <c r="J149" s="425">
        <v>1</v>
      </c>
      <c r="K149" s="425">
        <f t="shared" si="31"/>
        <v>0</v>
      </c>
      <c r="L149" s="467">
        <f>$L$74</f>
        <v>0.83</v>
      </c>
      <c r="M149" s="468">
        <f>$C$22</f>
        <v>0.5555555555555556</v>
      </c>
      <c r="N149" s="425">
        <f t="shared" si="32"/>
        <v>0</v>
      </c>
      <c r="O149" s="469">
        <f>N149</f>
        <v>0</v>
      </c>
      <c r="P149" s="482">
        <v>4</v>
      </c>
      <c r="Q149" s="483">
        <f t="shared" si="33"/>
        <v>0</v>
      </c>
      <c r="R149" s="487"/>
      <c r="S149" s="48"/>
      <c r="T149" s="48"/>
      <c r="U149" s="50"/>
      <c r="V149" s="48"/>
      <c r="W149" s="48"/>
      <c r="X149" s="16"/>
      <c r="Y149" s="16"/>
    </row>
    <row r="150" spans="1:25" ht="12.75">
      <c r="A150" s="393"/>
      <c r="B150" s="390"/>
      <c r="C150" s="432" t="s">
        <v>504</v>
      </c>
      <c r="D150" s="390"/>
      <c r="I150" s="425">
        <f>'A.PESADO'!K14+'A.PESADO'!K15</f>
        <v>0</v>
      </c>
      <c r="J150" s="425">
        <v>2</v>
      </c>
      <c r="K150" s="425">
        <f t="shared" si="31"/>
        <v>0</v>
      </c>
      <c r="L150" s="467">
        <f>L141</f>
        <v>1.94</v>
      </c>
      <c r="M150" s="468">
        <f>$C$15</f>
        <v>0.5555555555555556</v>
      </c>
      <c r="N150" s="425">
        <f t="shared" si="32"/>
        <v>0</v>
      </c>
      <c r="O150" s="469">
        <f>N150</f>
        <v>0</v>
      </c>
      <c r="P150" s="482">
        <v>1</v>
      </c>
      <c r="Q150" s="483">
        <f t="shared" si="33"/>
        <v>0</v>
      </c>
      <c r="R150" s="487"/>
      <c r="S150" s="48"/>
      <c r="T150" s="48"/>
      <c r="U150" s="50"/>
      <c r="V150" s="48"/>
      <c r="W150" s="48"/>
      <c r="X150" s="16"/>
      <c r="Y150" s="16"/>
    </row>
    <row r="151" spans="1:25" ht="12.75">
      <c r="A151" s="393"/>
      <c r="B151" s="390"/>
      <c r="C151" s="432" t="s">
        <v>266</v>
      </c>
      <c r="D151" s="390"/>
      <c r="I151" s="425">
        <f>'A.PESADO'!K10</f>
        <v>0</v>
      </c>
      <c r="J151" s="425">
        <v>1</v>
      </c>
      <c r="K151" s="425">
        <f t="shared" si="31"/>
        <v>0</v>
      </c>
      <c r="L151" s="467">
        <f>$L$74</f>
        <v>0.83</v>
      </c>
      <c r="M151" s="468">
        <f>M149</f>
        <v>0.5555555555555556</v>
      </c>
      <c r="N151" s="425">
        <f t="shared" si="32"/>
        <v>0</v>
      </c>
      <c r="O151" s="469">
        <f>N151</f>
        <v>0</v>
      </c>
      <c r="P151" s="482">
        <v>4</v>
      </c>
      <c r="Q151" s="483">
        <f t="shared" si="33"/>
        <v>0</v>
      </c>
      <c r="R151" s="487"/>
      <c r="S151" s="48"/>
      <c r="T151" s="48"/>
      <c r="U151" s="50"/>
      <c r="V151" s="48"/>
      <c r="W151" s="48"/>
      <c r="X151" s="16"/>
      <c r="Y151" s="16"/>
    </row>
    <row r="152" spans="1:25" ht="12.75">
      <c r="A152" s="393"/>
      <c r="B152" s="390"/>
      <c r="C152" s="432" t="s">
        <v>583</v>
      </c>
      <c r="D152" s="390"/>
      <c r="I152" s="425">
        <f>'CUARTEL GENERAL'!K94+'CUARTEL GENERAL'!K95+'CUARTEL GENERAL'!K98+'CUARTEL GENERAL'!K99+'CUARTEL GENERAL'!L94+'CUARTEL GENERAL'!L95+'CUARTEL GENERAL'!L98+'CUARTEL GENERAL'!L99+LINEA!K7+LINEA!K9+LINEA!K11+ELITE!K37+ELITE!K39+ELITE!K41+ELITE!K47+ELITE!K49+ELITE!K51+ELITE!K53+ELITE!K57+ELITE!K59+'A.RAPIDO'!K7+'A.RAPIDO'!K9+'A.RAPIDO'!K18+'A.RAPIDO'!K20+'A.RAPIDO'!L18+'A.RAPIDO'!L20+'A.PESADO'!K7+'A.PESADO'!K9+'A.PESADO'!K11+'A.PESADO'!K13</f>
        <v>0</v>
      </c>
      <c r="J152" s="425">
        <v>1</v>
      </c>
      <c r="K152" s="425">
        <f t="shared" si="31"/>
        <v>0</v>
      </c>
      <c r="L152" s="467">
        <f>M12</f>
        <v>3.12</v>
      </c>
      <c r="M152" s="468">
        <f>C22</f>
        <v>0.5555555555555556</v>
      </c>
      <c r="N152" s="425">
        <f t="shared" si="32"/>
        <v>0</v>
      </c>
      <c r="O152" s="469"/>
      <c r="P152" s="482">
        <v>4</v>
      </c>
      <c r="Q152" s="483">
        <f t="shared" si="33"/>
        <v>0</v>
      </c>
      <c r="R152" s="487"/>
      <c r="S152" s="48"/>
      <c r="T152" s="48"/>
      <c r="U152" s="50"/>
      <c r="V152" s="48"/>
      <c r="W152" s="48"/>
      <c r="X152" s="16"/>
      <c r="Y152" s="16"/>
    </row>
    <row r="153" spans="1:25" ht="12.75">
      <c r="A153" s="393"/>
      <c r="B153" s="390"/>
      <c r="C153" s="432" t="s">
        <v>584</v>
      </c>
      <c r="D153" s="390"/>
      <c r="I153" s="425">
        <f>'CUARTEL GENERAL'!K28+'CUARTEL GENERAL'!K30+'CUARTEL GENERAL'!K34+'CUARTEL GENERAL'!K36+'CUARTEL GENERAL'!L28+'CUARTEL GENERAL'!L30+'CUARTEL GENERAL'!L34+'CUARTEL GENERAL'!L36+'CUARTEL GENERAL'!K41+'CUARTEL GENERAL'!L41+'CUARTEL GENERAL'!K58+'CUARTEL GENERAL'!L58+'CUARTEL GENERAL'!K74+'CUARTEL GENERAL'!L74</f>
        <v>0</v>
      </c>
      <c r="J153" s="425">
        <v>1</v>
      </c>
      <c r="K153" s="425">
        <f t="shared" si="31"/>
        <v>0</v>
      </c>
      <c r="L153" s="467">
        <f>L152</f>
        <v>3.12</v>
      </c>
      <c r="M153" s="468">
        <f>C22</f>
        <v>0.5555555555555556</v>
      </c>
      <c r="N153" s="425">
        <f t="shared" si="32"/>
        <v>0</v>
      </c>
      <c r="O153" s="469"/>
      <c r="P153" s="482">
        <v>5</v>
      </c>
      <c r="Q153" s="483">
        <f t="shared" si="33"/>
        <v>0</v>
      </c>
      <c r="R153" s="487"/>
      <c r="S153" s="48"/>
      <c r="T153" s="48"/>
      <c r="U153" s="50"/>
      <c r="V153" s="48"/>
      <c r="W153" s="48"/>
      <c r="X153" s="16"/>
      <c r="Y153" s="16"/>
    </row>
    <row r="154" spans="1:25" ht="13.5" thickBot="1">
      <c r="A154" s="393">
        <v>3</v>
      </c>
      <c r="B154" s="390"/>
      <c r="C154" s="390"/>
      <c r="D154" s="390"/>
      <c r="I154" s="425"/>
      <c r="J154" s="425"/>
      <c r="K154" s="425">
        <f t="shared" si="31"/>
        <v>0</v>
      </c>
      <c r="L154" s="467"/>
      <c r="M154" s="467"/>
      <c r="N154" s="473"/>
      <c r="O154" s="469"/>
      <c r="P154" s="482"/>
      <c r="Q154" s="483"/>
      <c r="R154" s="487"/>
      <c r="S154" s="48"/>
      <c r="T154" s="48"/>
      <c r="U154" s="50"/>
      <c r="V154" s="48"/>
      <c r="W154" s="48"/>
      <c r="X154" s="16"/>
      <c r="Y154" s="16"/>
    </row>
    <row r="155" spans="1:25" ht="13.5" thickBot="1">
      <c r="A155" s="389"/>
      <c r="B155" s="388" t="s">
        <v>18</v>
      </c>
      <c r="C155" s="398"/>
      <c r="D155" s="398"/>
      <c r="E155" s="398"/>
      <c r="F155" s="398"/>
      <c r="G155" s="398"/>
      <c r="H155" s="428"/>
      <c r="I155" s="381">
        <f>SUM(I156:I161)</f>
        <v>0</v>
      </c>
      <c r="J155" s="381"/>
      <c r="K155" s="381">
        <f>SUM(K156:K161)</f>
        <v>0</v>
      </c>
      <c r="L155" s="436">
        <f>SUM(L156:L161)</f>
        <v>0</v>
      </c>
      <c r="M155" s="436">
        <f>SUM(M156:M161)</f>
        <v>0</v>
      </c>
      <c r="N155" s="471">
        <f>SUM(N156:N161)</f>
        <v>0</v>
      </c>
      <c r="O155" s="471">
        <f>SUM(O156:O161)</f>
        <v>0</v>
      </c>
      <c r="P155" s="502"/>
      <c r="Q155" s="503">
        <f>SUM(Q156:Q161)</f>
        <v>0</v>
      </c>
      <c r="R155" s="487"/>
      <c r="S155" s="48"/>
      <c r="T155" s="48"/>
      <c r="U155" s="50"/>
      <c r="V155" s="48"/>
      <c r="W155" s="48"/>
      <c r="X155" s="16"/>
      <c r="Y155" s="16"/>
    </row>
    <row r="156" spans="1:25" ht="12.75">
      <c r="A156" s="393">
        <v>1</v>
      </c>
      <c r="B156" s="111"/>
      <c r="C156" s="390"/>
      <c r="D156" s="390"/>
      <c r="H156" s="415"/>
      <c r="I156" s="425"/>
      <c r="J156" s="425"/>
      <c r="K156" s="425">
        <f aca="true" t="shared" si="34" ref="K156:K162">J156*(I156)</f>
        <v>0</v>
      </c>
      <c r="L156" s="467"/>
      <c r="M156" s="467"/>
      <c r="N156" s="468"/>
      <c r="O156" s="469"/>
      <c r="P156" s="482"/>
      <c r="Q156" s="489"/>
      <c r="R156" s="490"/>
      <c r="S156" s="48"/>
      <c r="T156" s="48"/>
      <c r="U156" s="16"/>
      <c r="V156" s="48"/>
      <c r="W156" s="48"/>
      <c r="X156" s="16"/>
      <c r="Y156" s="16"/>
    </row>
    <row r="157" spans="1:25" ht="12.75">
      <c r="A157" s="393">
        <v>2</v>
      </c>
      <c r="B157" s="111"/>
      <c r="C157" s="390"/>
      <c r="D157" s="390"/>
      <c r="H157" s="415"/>
      <c r="I157" s="425"/>
      <c r="J157" s="425"/>
      <c r="K157" s="425">
        <f t="shared" si="34"/>
        <v>0</v>
      </c>
      <c r="L157" s="467"/>
      <c r="M157" s="467"/>
      <c r="N157" s="468"/>
      <c r="O157" s="469"/>
      <c r="P157" s="482"/>
      <c r="Q157" s="483"/>
      <c r="R157" s="487"/>
      <c r="S157" s="48"/>
      <c r="T157" s="48"/>
      <c r="U157" s="50"/>
      <c r="V157" s="48"/>
      <c r="W157" s="48"/>
      <c r="X157" s="16"/>
      <c r="Y157" s="16"/>
    </row>
    <row r="158" spans="1:25" ht="12.75">
      <c r="A158" s="393">
        <v>3</v>
      </c>
      <c r="B158" s="111"/>
      <c r="C158" s="432"/>
      <c r="D158" s="390"/>
      <c r="I158" s="425"/>
      <c r="J158" s="425"/>
      <c r="K158" s="425">
        <f t="shared" si="34"/>
        <v>0</v>
      </c>
      <c r="L158" s="467"/>
      <c r="M158" s="467"/>
      <c r="N158" s="468"/>
      <c r="O158" s="469"/>
      <c r="P158" s="482"/>
      <c r="Q158" s="483"/>
      <c r="R158" s="487"/>
      <c r="S158" s="48"/>
      <c r="T158" s="48"/>
      <c r="U158" s="50"/>
      <c r="V158" s="48"/>
      <c r="W158" s="48"/>
      <c r="X158" s="16"/>
      <c r="Y158" s="16"/>
    </row>
    <row r="159" spans="1:25" ht="12.75">
      <c r="A159" s="393">
        <v>4</v>
      </c>
      <c r="B159" s="111"/>
      <c r="C159" s="390"/>
      <c r="D159" s="390"/>
      <c r="I159" s="425"/>
      <c r="J159" s="425"/>
      <c r="K159" s="425">
        <f t="shared" si="34"/>
        <v>0</v>
      </c>
      <c r="L159" s="467"/>
      <c r="M159" s="467"/>
      <c r="N159" s="468"/>
      <c r="O159" s="469"/>
      <c r="P159" s="482"/>
      <c r="Q159" s="483"/>
      <c r="R159" s="487"/>
      <c r="S159" s="48"/>
      <c r="T159" s="48"/>
      <c r="U159" s="50"/>
      <c r="V159" s="48"/>
      <c r="W159" s="48"/>
      <c r="X159" s="16"/>
      <c r="Y159" s="16"/>
    </row>
    <row r="160" spans="1:25" ht="12.75">
      <c r="A160" s="393">
        <v>5</v>
      </c>
      <c r="B160" s="111"/>
      <c r="C160" s="390"/>
      <c r="D160" s="390"/>
      <c r="I160" s="425"/>
      <c r="J160" s="425"/>
      <c r="K160" s="425">
        <f t="shared" si="34"/>
        <v>0</v>
      </c>
      <c r="L160" s="467"/>
      <c r="M160" s="467"/>
      <c r="N160" s="468"/>
      <c r="O160" s="469"/>
      <c r="P160" s="482"/>
      <c r="Q160" s="483"/>
      <c r="R160" s="487"/>
      <c r="S160" s="48"/>
      <c r="T160" s="48"/>
      <c r="U160" s="50"/>
      <c r="V160" s="48"/>
      <c r="W160" s="48"/>
      <c r="X160" s="16"/>
      <c r="Y160" s="16"/>
    </row>
    <row r="161" spans="1:25" ht="12.75">
      <c r="A161" s="393">
        <v>6</v>
      </c>
      <c r="B161" s="111"/>
      <c r="C161" s="390"/>
      <c r="D161" s="390"/>
      <c r="I161" s="425"/>
      <c r="J161" s="425"/>
      <c r="K161" s="425">
        <f t="shared" si="34"/>
        <v>0</v>
      </c>
      <c r="L161" s="467"/>
      <c r="M161" s="467"/>
      <c r="N161" s="468"/>
      <c r="O161" s="469"/>
      <c r="P161" s="482"/>
      <c r="Q161" s="483"/>
      <c r="R161" s="487"/>
      <c r="S161" s="48"/>
      <c r="T161" s="48"/>
      <c r="U161" s="50"/>
      <c r="V161" s="48"/>
      <c r="W161" s="48"/>
      <c r="X161" s="16"/>
      <c r="Y161" s="16"/>
    </row>
    <row r="162" spans="1:25" ht="13.5" thickBot="1">
      <c r="A162" s="394"/>
      <c r="B162" s="111"/>
      <c r="C162" s="390"/>
      <c r="D162" s="390"/>
      <c r="I162" s="425"/>
      <c r="J162" s="425"/>
      <c r="K162" s="425">
        <f t="shared" si="34"/>
        <v>0</v>
      </c>
      <c r="L162" s="467"/>
      <c r="M162" s="467"/>
      <c r="N162" s="468"/>
      <c r="O162" s="469"/>
      <c r="P162" s="482"/>
      <c r="Q162" s="483"/>
      <c r="R162" s="487"/>
      <c r="S162" s="48"/>
      <c r="T162" s="48"/>
      <c r="U162" s="50"/>
      <c r="V162" s="48"/>
      <c r="W162" s="48"/>
      <c r="X162" s="16"/>
      <c r="Y162" s="16"/>
    </row>
    <row r="163" spans="1:25" ht="13.5" thickBot="1">
      <c r="A163" s="389"/>
      <c r="B163" s="388" t="s">
        <v>1</v>
      </c>
      <c r="C163" s="398"/>
      <c r="D163" s="398"/>
      <c r="E163" s="398"/>
      <c r="F163" s="398"/>
      <c r="G163" s="398"/>
      <c r="H163" s="428"/>
      <c r="I163" s="381">
        <f>I30+I77+I86+I127+I144+I155</f>
        <v>0</v>
      </c>
      <c r="J163" s="381"/>
      <c r="K163" s="434">
        <f>K30+K77+K86+K127+K144+K155</f>
        <v>0</v>
      </c>
      <c r="L163" s="474">
        <f>L30+L77+L86+L127+L144+L155</f>
        <v>62.499999999999986</v>
      </c>
      <c r="M163" s="474">
        <f>M30+M77+M86+M127+M144+M155</f>
        <v>28.888888888888886</v>
      </c>
      <c r="N163" s="446">
        <f>N30+N77+N86+N127+N144+N155</f>
        <v>0</v>
      </c>
      <c r="O163" s="475" t="e">
        <f>((O30+O77+O86+O127+O144+O155)/N163)*100</f>
        <v>#DIV/0!</v>
      </c>
      <c r="P163" s="491"/>
      <c r="Q163" s="504" t="e">
        <f>((Q30+Q77+Q86+Q127+Q144+Q155)/K163)</f>
        <v>#DIV/0!</v>
      </c>
      <c r="R163" s="487"/>
      <c r="S163" s="48"/>
      <c r="T163" s="48"/>
      <c r="U163" s="50"/>
      <c r="V163" s="48"/>
      <c r="W163" s="48"/>
      <c r="X163" s="16"/>
      <c r="Y163" s="16"/>
    </row>
    <row r="164" spans="14:25" ht="13.5" thickBot="1">
      <c r="N164" s="436">
        <f>(-0.00040952*N163*N163)+(N163*0.0908)-0.00014275</f>
        <v>-0.00014275</v>
      </c>
      <c r="O164" s="435" t="s">
        <v>172</v>
      </c>
      <c r="P164" s="505"/>
      <c r="Q164" s="506" t="s">
        <v>177</v>
      </c>
      <c r="R164" s="487"/>
      <c r="S164" s="48"/>
      <c r="T164" s="48"/>
      <c r="U164" s="50"/>
      <c r="V164" s="48"/>
      <c r="W164" s="48"/>
      <c r="X164" s="16"/>
      <c r="Y164" s="16"/>
    </row>
    <row r="165" spans="4:25" ht="12.75">
      <c r="D165" s="435"/>
      <c r="E165" s="476"/>
      <c r="F165" s="477"/>
      <c r="G165" s="476"/>
      <c r="H165" s="477"/>
      <c r="I165" s="435"/>
      <c r="J165" s="435"/>
      <c r="K165" s="435"/>
      <c r="L165" s="435"/>
      <c r="N165" s="435" t="s">
        <v>212</v>
      </c>
      <c r="R165" s="487"/>
      <c r="S165" s="48"/>
      <c r="T165" s="48"/>
      <c r="U165" s="50"/>
      <c r="V165" s="48"/>
      <c r="W165" s="48"/>
      <c r="X165" s="16"/>
      <c r="Y165" s="16"/>
    </row>
    <row r="166" spans="18:25" ht="12.75">
      <c r="R166" s="487"/>
      <c r="S166" s="48"/>
      <c r="T166" s="48"/>
      <c r="U166" s="50"/>
      <c r="V166" s="48"/>
      <c r="W166" s="48"/>
      <c r="X166" s="16"/>
      <c r="Y166" s="16"/>
    </row>
    <row r="167" spans="18:25" ht="12.75">
      <c r="R167" s="490"/>
      <c r="S167" s="48"/>
      <c r="T167" s="48"/>
      <c r="U167" s="16"/>
      <c r="V167" s="48"/>
      <c r="W167" s="48"/>
      <c r="X167" s="16"/>
      <c r="Y167" s="16"/>
    </row>
    <row r="168" spans="18:25" ht="12.75">
      <c r="R168" s="487"/>
      <c r="S168" s="48"/>
      <c r="T168" s="48"/>
      <c r="U168" s="50"/>
      <c r="V168" s="48"/>
      <c r="W168" s="48"/>
      <c r="X168" s="16"/>
      <c r="Y168" s="16"/>
    </row>
    <row r="169" spans="18:25" ht="12.75">
      <c r="R169" s="487"/>
      <c r="S169" s="48"/>
      <c r="T169" s="48"/>
      <c r="U169" s="50"/>
      <c r="V169" s="48"/>
      <c r="W169" s="48"/>
      <c r="X169" s="16"/>
      <c r="Y169" s="16"/>
    </row>
    <row r="170" spans="18:25" ht="12.75">
      <c r="R170" s="487"/>
      <c r="S170" s="48"/>
      <c r="T170" s="48"/>
      <c r="U170" s="50"/>
      <c r="V170" s="48"/>
      <c r="W170" s="48"/>
      <c r="X170" s="16"/>
      <c r="Y170" s="16"/>
    </row>
    <row r="171" spans="18:25" ht="12.75">
      <c r="R171" s="487"/>
      <c r="S171" s="48"/>
      <c r="T171" s="48"/>
      <c r="U171" s="50"/>
      <c r="V171" s="48"/>
      <c r="W171" s="48"/>
      <c r="X171" s="16"/>
      <c r="Y171" s="16"/>
    </row>
    <row r="172" spans="18:25" ht="12.75">
      <c r="R172" s="487"/>
      <c r="S172" s="48"/>
      <c r="T172" s="48"/>
      <c r="U172" s="50"/>
      <c r="V172" s="48"/>
      <c r="W172" s="48"/>
      <c r="X172" s="16"/>
      <c r="Y172" s="16"/>
    </row>
    <row r="173" spans="18:25" ht="12.75">
      <c r="R173" s="487"/>
      <c r="S173" s="48"/>
      <c r="T173" s="48"/>
      <c r="U173" s="50"/>
      <c r="V173" s="48"/>
      <c r="W173" s="48"/>
      <c r="X173" s="16"/>
      <c r="Y173" s="16"/>
    </row>
    <row r="174" spans="18:25" ht="12.75">
      <c r="R174" s="487"/>
      <c r="S174" s="48"/>
      <c r="T174" s="48"/>
      <c r="U174" s="50"/>
      <c r="V174" s="48"/>
      <c r="W174" s="48"/>
      <c r="X174" s="16"/>
      <c r="Y174" s="16"/>
    </row>
    <row r="175" spans="18:25" ht="12.75">
      <c r="R175" s="487"/>
      <c r="S175" s="48"/>
      <c r="T175" s="48"/>
      <c r="U175" s="50"/>
      <c r="V175" s="48"/>
      <c r="W175" s="48"/>
      <c r="X175" s="16"/>
      <c r="Y175" s="16"/>
    </row>
    <row r="176" spans="18:25" ht="12.75">
      <c r="R176" s="487"/>
      <c r="S176" s="48"/>
      <c r="T176" s="48"/>
      <c r="U176" s="50"/>
      <c r="V176" s="48"/>
      <c r="W176" s="48"/>
      <c r="X176" s="16"/>
      <c r="Y176" s="16"/>
    </row>
    <row r="177" spans="18:25" ht="12.75">
      <c r="R177" s="487"/>
      <c r="S177" s="48"/>
      <c r="T177" s="48"/>
      <c r="U177" s="50"/>
      <c r="V177" s="48"/>
      <c r="W177" s="48"/>
      <c r="X177" s="16"/>
      <c r="Y177" s="16"/>
    </row>
    <row r="178" spans="18:25" ht="12.75">
      <c r="R178" s="487"/>
      <c r="S178" s="48"/>
      <c r="T178" s="48"/>
      <c r="U178" s="16"/>
      <c r="V178" s="50"/>
      <c r="W178" s="48"/>
      <c r="X178" s="16"/>
      <c r="Y178" s="16"/>
    </row>
    <row r="179" spans="18:25" ht="12.75">
      <c r="R179" s="487"/>
      <c r="S179" s="48"/>
      <c r="T179" s="48"/>
      <c r="U179" s="50"/>
      <c r="V179" s="48"/>
      <c r="W179" s="48"/>
      <c r="X179" s="16"/>
      <c r="Y179" s="16"/>
    </row>
    <row r="180" spans="18:25" ht="12.75">
      <c r="R180" s="487"/>
      <c r="S180" s="48"/>
      <c r="T180" s="48"/>
      <c r="U180" s="50"/>
      <c r="V180" s="48"/>
      <c r="W180" s="48"/>
      <c r="X180" s="16"/>
      <c r="Y180" s="16"/>
    </row>
    <row r="181" spans="18:25" ht="12.75">
      <c r="R181" s="487"/>
      <c r="S181" s="48"/>
      <c r="T181" s="48"/>
      <c r="U181" s="50"/>
      <c r="V181" s="48"/>
      <c r="W181" s="48"/>
      <c r="X181" s="16"/>
      <c r="Y181" s="16"/>
    </row>
    <row r="182" spans="18:25" ht="12.75">
      <c r="R182" s="487"/>
      <c r="S182" s="48"/>
      <c r="T182" s="48"/>
      <c r="U182" s="50"/>
      <c r="V182" s="48"/>
      <c r="W182" s="48"/>
      <c r="X182" s="16"/>
      <c r="Y182" s="16"/>
    </row>
    <row r="183" spans="18:25" ht="12.75">
      <c r="R183" s="487"/>
      <c r="S183" s="48"/>
      <c r="T183" s="48"/>
      <c r="U183" s="50"/>
      <c r="V183" s="48"/>
      <c r="W183" s="48"/>
      <c r="X183" s="16"/>
      <c r="Y183" s="16"/>
    </row>
    <row r="184" spans="18:25" ht="12.75">
      <c r="R184" s="487"/>
      <c r="S184" s="48"/>
      <c r="T184" s="48"/>
      <c r="U184" s="50"/>
      <c r="V184" s="48"/>
      <c r="W184" s="48"/>
      <c r="X184" s="16"/>
      <c r="Y184" s="16"/>
    </row>
    <row r="185" spans="18:25" ht="12.75">
      <c r="R185" s="487"/>
      <c r="S185" s="48"/>
      <c r="T185" s="48"/>
      <c r="U185" s="50"/>
      <c r="V185" s="48"/>
      <c r="W185" s="48"/>
      <c r="X185" s="16"/>
      <c r="Y185" s="16"/>
    </row>
    <row r="186" spans="18:25" ht="12.75">
      <c r="R186" s="487"/>
      <c r="S186" s="48"/>
      <c r="T186" s="48"/>
      <c r="U186" s="50"/>
      <c r="V186" s="48"/>
      <c r="W186" s="48"/>
      <c r="X186" s="16"/>
      <c r="Y186" s="16"/>
    </row>
    <row r="187" spans="18:25" ht="12.75">
      <c r="R187" s="487"/>
      <c r="S187" s="48"/>
      <c r="T187" s="48"/>
      <c r="U187" s="50"/>
      <c r="V187" s="48"/>
      <c r="W187" s="48"/>
      <c r="X187" s="16"/>
      <c r="Y187" s="16"/>
    </row>
    <row r="188" spans="18:25" ht="12.75">
      <c r="R188" s="487"/>
      <c r="S188" s="48"/>
      <c r="T188" s="48"/>
      <c r="U188" s="50"/>
      <c r="V188" s="48"/>
      <c r="W188" s="48"/>
      <c r="X188" s="16"/>
      <c r="Y188" s="16"/>
    </row>
    <row r="189" spans="18:25" ht="12.75">
      <c r="R189" s="487"/>
      <c r="S189" s="48"/>
      <c r="T189" s="48"/>
      <c r="U189" s="50"/>
      <c r="V189" s="48"/>
      <c r="W189" s="48"/>
      <c r="X189" s="16"/>
      <c r="Y189" s="16"/>
    </row>
    <row r="190" spans="18:25" ht="12.75">
      <c r="R190" s="487"/>
      <c r="S190" s="48"/>
      <c r="T190" s="48"/>
      <c r="U190" s="50"/>
      <c r="V190" s="48"/>
      <c r="W190" s="48"/>
      <c r="X190" s="16"/>
      <c r="Y190" s="16"/>
    </row>
    <row r="191" spans="18:25" ht="12.75">
      <c r="R191" s="487"/>
      <c r="S191" s="48"/>
      <c r="T191" s="48"/>
      <c r="U191" s="48"/>
      <c r="V191" s="48"/>
      <c r="W191" s="48"/>
      <c r="X191" s="16"/>
      <c r="Y191" s="16"/>
    </row>
    <row r="192" spans="18:25" ht="12.75">
      <c r="R192" s="496"/>
      <c r="S192" s="17"/>
      <c r="T192" s="17"/>
      <c r="U192" s="17"/>
      <c r="V192" s="17"/>
      <c r="W192" s="17"/>
      <c r="X192" s="17"/>
      <c r="Y192" s="16"/>
    </row>
    <row r="193" spans="18:25" ht="12.75">
      <c r="R193" s="496"/>
      <c r="S193" s="17"/>
      <c r="T193" s="17"/>
      <c r="U193" s="17"/>
      <c r="V193" s="17"/>
      <c r="W193" s="17"/>
      <c r="X193" s="17"/>
      <c r="Y193" s="16"/>
    </row>
    <row r="194" spans="19:20" ht="12.75">
      <c r="S194" s="16"/>
      <c r="T194" s="16"/>
    </row>
    <row r="195" spans="19:20" ht="12.75">
      <c r="S195" s="16"/>
      <c r="T195" s="16"/>
    </row>
    <row r="196" spans="19:20" ht="12.75">
      <c r="S196" s="16"/>
      <c r="T196" s="16"/>
    </row>
    <row r="197" spans="19:20" ht="12.75">
      <c r="S197" s="16"/>
      <c r="T197" s="16"/>
    </row>
    <row r="198" spans="19:20" ht="12.75">
      <c r="S198" s="16"/>
      <c r="T198" s="16"/>
    </row>
    <row r="199" spans="19:20" ht="12.75">
      <c r="S199" s="16"/>
      <c r="T199" s="16"/>
    </row>
    <row r="200" spans="19:20" ht="12.75">
      <c r="S200" s="16"/>
      <c r="T200" s="16"/>
    </row>
    <row r="201" spans="19:20" ht="12.75">
      <c r="S201" s="16"/>
      <c r="T201" s="16"/>
    </row>
    <row r="202" spans="19:20" ht="12.75">
      <c r="S202" s="16"/>
      <c r="T202" s="16"/>
    </row>
    <row r="203" spans="19:20" ht="12.75">
      <c r="S203" s="16"/>
      <c r="T203" s="16"/>
    </row>
    <row r="204" spans="19:20" ht="12.75">
      <c r="S204" s="16"/>
      <c r="T204" s="16"/>
    </row>
    <row r="205" spans="19:20" ht="12.75">
      <c r="S205" s="16"/>
      <c r="T205" s="16"/>
    </row>
    <row r="206" spans="19:20" ht="12.75">
      <c r="S206" s="16"/>
      <c r="T206" s="16"/>
    </row>
    <row r="207" spans="19:20" ht="12.75">
      <c r="S207" s="16"/>
      <c r="T207" s="16"/>
    </row>
    <row r="208" spans="19:20" ht="12.75">
      <c r="S208" s="16"/>
      <c r="T208" s="16"/>
    </row>
    <row r="209" spans="19:20" ht="12.75">
      <c r="S209" s="16"/>
      <c r="T209" s="16"/>
    </row>
    <row r="210" spans="19:20" ht="12.75">
      <c r="S210" s="16"/>
      <c r="T210" s="16"/>
    </row>
    <row r="211" spans="19:20" ht="12.75">
      <c r="S211" s="16"/>
      <c r="T211" s="16"/>
    </row>
    <row r="212" spans="19:20" ht="12.75">
      <c r="S212" s="16"/>
      <c r="T212" s="16"/>
    </row>
    <row r="213" spans="19:20" ht="12.75">
      <c r="S213" s="16"/>
      <c r="T213" s="16"/>
    </row>
    <row r="214" spans="19:20" ht="12.75">
      <c r="S214" s="16"/>
      <c r="T214" s="16"/>
    </row>
    <row r="215" spans="19:20" ht="12.75">
      <c r="S215" s="16"/>
      <c r="T215" s="16"/>
    </row>
    <row r="216" spans="19:20" ht="12.75">
      <c r="S216" s="16"/>
      <c r="T216" s="16"/>
    </row>
    <row r="217" spans="19:20" ht="12.75">
      <c r="S217" s="16"/>
      <c r="T217" s="16"/>
    </row>
    <row r="218" spans="19:20" ht="12.75">
      <c r="S218" s="16"/>
      <c r="T218" s="16"/>
    </row>
    <row r="219" spans="19:20" ht="12.75">
      <c r="S219" s="16"/>
      <c r="T219" s="16"/>
    </row>
    <row r="220" spans="19:20" ht="12.75">
      <c r="S220" s="16"/>
      <c r="T220" s="16"/>
    </row>
    <row r="221" spans="19:20" ht="12.75">
      <c r="S221" s="16"/>
      <c r="T221" s="16"/>
    </row>
    <row r="222" spans="19:20" ht="12.75">
      <c r="S222" s="16"/>
      <c r="T222" s="16"/>
    </row>
    <row r="223" spans="19:20" ht="12.75">
      <c r="S223" s="16"/>
      <c r="T223" s="16"/>
    </row>
    <row r="224" spans="19:20" ht="12.75">
      <c r="S224" s="16"/>
      <c r="T224" s="16"/>
    </row>
    <row r="225" spans="19:20" ht="12.75">
      <c r="S225" s="16"/>
      <c r="T225" s="16"/>
    </row>
    <row r="226" spans="19:20" ht="12.75">
      <c r="S226" s="16"/>
      <c r="T226" s="16"/>
    </row>
    <row r="227" spans="19:20" ht="12.75">
      <c r="S227" s="16"/>
      <c r="T227" s="16"/>
    </row>
    <row r="228" spans="19:20" ht="12.75">
      <c r="S228" s="16"/>
      <c r="T228" s="16"/>
    </row>
    <row r="229" spans="19:20" ht="12.75">
      <c r="S229" s="16"/>
      <c r="T229" s="16"/>
    </row>
    <row r="230" spans="19:20" ht="12.75">
      <c r="S230" s="16"/>
      <c r="T230" s="16"/>
    </row>
    <row r="231" spans="19:20" ht="12.75">
      <c r="S231" s="16"/>
      <c r="T231" s="16"/>
    </row>
    <row r="232" spans="19:20" ht="12.75">
      <c r="S232" s="16"/>
      <c r="T232" s="16"/>
    </row>
    <row r="233" spans="19:20" ht="12.75">
      <c r="S233" s="16"/>
      <c r="T233" s="16"/>
    </row>
  </sheetData>
  <mergeCells count="4">
    <mergeCell ref="P28:Q28"/>
    <mergeCell ref="H25:I25"/>
    <mergeCell ref="L28:N28"/>
    <mergeCell ref="J28:K28"/>
  </mergeCells>
  <printOptions/>
  <pageMargins left="0.75" right="0.75" top="1" bottom="1" header="0" footer="0"/>
  <pageSetup horizontalDpi="200" verticalDpi="200" orientation="portrait" paperSize="9" r:id="rId1"/>
</worksheet>
</file>

<file path=xl/worksheets/sheet20.xml><?xml version="1.0" encoding="utf-8"?>
<worksheet xmlns="http://schemas.openxmlformats.org/spreadsheetml/2006/main" xmlns:r="http://schemas.openxmlformats.org/officeDocument/2006/relationships">
  <dimension ref="A1:Y175"/>
  <sheetViews>
    <sheetView workbookViewId="0" topLeftCell="A116">
      <selection activeCell="K130" sqref="K130:N147"/>
    </sheetView>
  </sheetViews>
  <sheetFormatPr defaultColWidth="11.421875" defaultRowHeight="12.75"/>
  <cols>
    <col min="1" max="1" width="5.421875" style="631" customWidth="1"/>
    <col min="2" max="2" width="11.421875" style="631" customWidth="1"/>
    <col min="3" max="3" width="8.28125" style="631" customWidth="1"/>
    <col min="4" max="4" width="6.57421875" style="631" customWidth="1"/>
    <col min="5" max="5" width="6.8515625" style="631" customWidth="1"/>
    <col min="6" max="6" width="11.421875" style="631" customWidth="1"/>
    <col min="7" max="7" width="7.7109375" style="631" customWidth="1"/>
    <col min="8" max="8" width="7.140625" style="631" customWidth="1"/>
    <col min="9" max="14" width="11.421875" style="631" customWidth="1"/>
    <col min="15" max="15" width="8.28125" style="631" customWidth="1"/>
    <col min="16" max="17" width="8.28125" style="14" customWidth="1"/>
    <col min="18" max="18" width="11.421875" style="14" customWidth="1"/>
    <col min="19" max="19" width="9.00390625" style="0" customWidth="1"/>
    <col min="20" max="20" width="8.28125" style="0" customWidth="1"/>
    <col min="21" max="21" width="11.00390625" style="0" customWidth="1"/>
    <col min="22" max="28" width="4.7109375" style="0" customWidth="1"/>
  </cols>
  <sheetData>
    <row r="1" spans="1:23" s="13" customFormat="1" ht="18.75" thickBot="1">
      <c r="A1" s="626"/>
      <c r="B1" s="627" t="s">
        <v>201</v>
      </c>
      <c r="C1" s="628"/>
      <c r="D1" s="628"/>
      <c r="E1" s="628"/>
      <c r="F1" s="628"/>
      <c r="G1" s="628"/>
      <c r="H1" s="628"/>
      <c r="I1" s="628"/>
      <c r="J1" s="628"/>
      <c r="K1" s="628"/>
      <c r="L1" s="628"/>
      <c r="M1" s="628"/>
      <c r="N1" s="628"/>
      <c r="O1" s="628"/>
      <c r="P1" s="629"/>
      <c r="Q1" s="223"/>
      <c r="R1" s="223"/>
      <c r="S1" s="62"/>
      <c r="T1" s="62"/>
      <c r="U1" s="62"/>
      <c r="V1" s="62"/>
      <c r="W1" s="62"/>
    </row>
    <row r="2" spans="1:22" s="16" customFormat="1" ht="20.25">
      <c r="A2" s="390"/>
      <c r="B2" s="399"/>
      <c r="C2" s="390"/>
      <c r="D2" s="390"/>
      <c r="E2" s="390"/>
      <c r="F2" s="390"/>
      <c r="G2" s="390"/>
      <c r="H2" s="390"/>
      <c r="I2" s="390"/>
      <c r="J2" s="390"/>
      <c r="K2" s="390"/>
      <c r="L2" s="390"/>
      <c r="M2" s="390"/>
      <c r="N2" s="390"/>
      <c r="O2" s="390"/>
      <c r="P2" s="77"/>
      <c r="Q2" s="110"/>
      <c r="R2" s="77"/>
      <c r="S2" s="77"/>
      <c r="T2" s="77"/>
      <c r="U2" s="77"/>
      <c r="V2" s="77"/>
    </row>
    <row r="3" spans="1:23" ht="12.75">
      <c r="A3" s="368"/>
      <c r="B3" s="368"/>
      <c r="C3" s="368"/>
      <c r="D3" s="368"/>
      <c r="E3" s="368"/>
      <c r="F3" s="368"/>
      <c r="G3" s="368"/>
      <c r="H3" s="368"/>
      <c r="I3" s="368"/>
      <c r="J3" s="368"/>
      <c r="K3" s="368"/>
      <c r="L3" s="368"/>
      <c r="M3" s="368"/>
      <c r="N3" s="368"/>
      <c r="O3" s="368"/>
      <c r="P3" s="76"/>
      <c r="Q3" s="77"/>
      <c r="R3" s="111"/>
      <c r="S3" s="111"/>
      <c r="T3" s="77"/>
      <c r="U3" s="77"/>
      <c r="V3" s="77"/>
      <c r="W3" s="16"/>
    </row>
    <row r="4" spans="1:23" ht="12.75">
      <c r="A4" s="368"/>
      <c r="B4" s="129" t="s">
        <v>187</v>
      </c>
      <c r="C4" s="368"/>
      <c r="D4" s="368"/>
      <c r="E4" s="368"/>
      <c r="F4" s="368"/>
      <c r="G4" s="129" t="s">
        <v>188</v>
      </c>
      <c r="H4" s="368"/>
      <c r="I4" s="368"/>
      <c r="J4" s="368"/>
      <c r="K4" s="368"/>
      <c r="L4" s="368"/>
      <c r="M4" s="368"/>
      <c r="N4" s="368"/>
      <c r="O4" s="368"/>
      <c r="P4" s="76"/>
      <c r="Q4" s="77"/>
      <c r="R4" s="114"/>
      <c r="S4" s="116"/>
      <c r="T4" s="77"/>
      <c r="U4" s="77"/>
      <c r="V4" s="77"/>
      <c r="W4" s="16"/>
    </row>
    <row r="5" spans="1:23" ht="15.75">
      <c r="A5" s="368"/>
      <c r="B5" s="368"/>
      <c r="C5" s="368"/>
      <c r="D5" s="368"/>
      <c r="E5" s="368"/>
      <c r="F5" s="400"/>
      <c r="G5" s="400"/>
      <c r="H5" s="368"/>
      <c r="I5" s="401"/>
      <c r="J5" s="401"/>
      <c r="K5" s="401"/>
      <c r="L5" s="401"/>
      <c r="M5" s="368"/>
      <c r="N5" s="368"/>
      <c r="O5" s="368"/>
      <c r="P5" s="76"/>
      <c r="Q5" s="77"/>
      <c r="R5" s="114"/>
      <c r="S5" s="116"/>
      <c r="T5" s="77"/>
      <c r="U5" s="77"/>
      <c r="V5" s="77"/>
      <c r="W5" s="16"/>
    </row>
    <row r="6" spans="1:23" ht="13.5" thickBot="1">
      <c r="A6" s="368"/>
      <c r="B6" s="390"/>
      <c r="C6" s="402" t="s">
        <v>179</v>
      </c>
      <c r="D6" s="790" t="s">
        <v>180</v>
      </c>
      <c r="E6" s="791"/>
      <c r="F6" s="405"/>
      <c r="G6" s="406" t="s">
        <v>192</v>
      </c>
      <c r="H6" s="368"/>
      <c r="I6" s="368"/>
      <c r="J6" s="368"/>
      <c r="K6" s="368"/>
      <c r="L6" s="406" t="s">
        <v>193</v>
      </c>
      <c r="M6" s="407"/>
      <c r="N6" s="111"/>
      <c r="O6" s="390"/>
      <c r="P6" s="77"/>
      <c r="Q6" s="77"/>
      <c r="R6" s="114"/>
      <c r="S6" s="116"/>
      <c r="T6" s="77"/>
      <c r="U6" s="77"/>
      <c r="V6" s="77"/>
      <c r="W6" s="16"/>
    </row>
    <row r="7" spans="1:23" ht="13.5" thickBot="1">
      <c r="A7" s="368"/>
      <c r="B7" s="381" t="s">
        <v>189</v>
      </c>
      <c r="C7" s="371" t="s">
        <v>0</v>
      </c>
      <c r="D7" s="381" t="s">
        <v>0</v>
      </c>
      <c r="E7" s="113"/>
      <c r="F7" s="368"/>
      <c r="G7" s="368"/>
      <c r="H7" s="368"/>
      <c r="I7" s="402" t="s">
        <v>179</v>
      </c>
      <c r="J7" s="403" t="s">
        <v>180</v>
      </c>
      <c r="K7" s="404"/>
      <c r="L7" s="368"/>
      <c r="M7" s="402" t="s">
        <v>179</v>
      </c>
      <c r="N7" s="403" t="s">
        <v>180</v>
      </c>
      <c r="O7" s="404"/>
      <c r="P7" s="77"/>
      <c r="Q7" s="77"/>
      <c r="R7" s="114"/>
      <c r="S7" s="116"/>
      <c r="T7" s="77"/>
      <c r="U7" s="77"/>
      <c r="V7" s="77"/>
      <c r="W7" s="16"/>
    </row>
    <row r="8" spans="1:23" ht="13.5" thickBot="1">
      <c r="A8" s="368"/>
      <c r="B8" s="382" t="s">
        <v>190</v>
      </c>
      <c r="C8" s="383">
        <v>5</v>
      </c>
      <c r="D8" s="408">
        <v>5</v>
      </c>
      <c r="E8" s="390"/>
      <c r="F8" s="368"/>
      <c r="G8" s="720" t="s">
        <v>189</v>
      </c>
      <c r="H8" s="762"/>
      <c r="I8" s="371" t="s">
        <v>0</v>
      </c>
      <c r="J8" s="381" t="s">
        <v>0</v>
      </c>
      <c r="K8" s="390"/>
      <c r="L8" s="381" t="s">
        <v>189</v>
      </c>
      <c r="M8" s="371" t="s">
        <v>0</v>
      </c>
      <c r="N8" s="371" t="s">
        <v>0</v>
      </c>
      <c r="O8" s="113"/>
      <c r="P8" s="76"/>
      <c r="Q8" s="77"/>
      <c r="R8" s="114"/>
      <c r="S8" s="116"/>
      <c r="T8" s="77"/>
      <c r="U8" s="77"/>
      <c r="V8" s="77"/>
      <c r="W8" s="16"/>
    </row>
    <row r="9" spans="1:23" ht="12.75">
      <c r="A9" s="368"/>
      <c r="B9" s="384">
        <v>10</v>
      </c>
      <c r="C9" s="383">
        <v>4.32</v>
      </c>
      <c r="D9" s="385">
        <v>4.95</v>
      </c>
      <c r="E9" s="113"/>
      <c r="F9" s="368"/>
      <c r="G9" s="792" t="s">
        <v>190</v>
      </c>
      <c r="H9" s="713"/>
      <c r="I9" s="383">
        <v>5</v>
      </c>
      <c r="J9" s="408">
        <v>5</v>
      </c>
      <c r="K9" s="113"/>
      <c r="L9" s="384">
        <v>10</v>
      </c>
      <c r="M9" s="383">
        <v>4.9</v>
      </c>
      <c r="N9" s="383">
        <v>5</v>
      </c>
      <c r="O9" s="113"/>
      <c r="P9" s="76"/>
      <c r="Q9" s="77"/>
      <c r="R9" s="114"/>
      <c r="S9" s="116"/>
      <c r="T9" s="77"/>
      <c r="U9" s="77"/>
      <c r="V9" s="77"/>
      <c r="W9" s="16"/>
    </row>
    <row r="10" spans="1:23" ht="12.75">
      <c r="A10" s="368"/>
      <c r="B10" s="384">
        <v>9</v>
      </c>
      <c r="C10" s="383">
        <v>3.5</v>
      </c>
      <c r="D10" s="385">
        <v>4.7</v>
      </c>
      <c r="E10" s="113"/>
      <c r="F10" s="368"/>
      <c r="G10" s="742">
        <v>10</v>
      </c>
      <c r="H10" s="787"/>
      <c r="I10" s="383">
        <v>3.55</v>
      </c>
      <c r="J10" s="385">
        <v>4.4</v>
      </c>
      <c r="K10" s="113"/>
      <c r="L10" s="384">
        <v>9</v>
      </c>
      <c r="M10" s="383">
        <v>4.75</v>
      </c>
      <c r="N10" s="383">
        <v>4.95</v>
      </c>
      <c r="O10" s="113"/>
      <c r="P10" s="76"/>
      <c r="Q10" s="77"/>
      <c r="R10" s="114"/>
      <c r="S10" s="116"/>
      <c r="T10" s="77"/>
      <c r="U10" s="77"/>
      <c r="V10" s="77"/>
      <c r="W10" s="16"/>
    </row>
    <row r="11" spans="1:23" ht="12.75">
      <c r="A11" s="368"/>
      <c r="B11" s="384">
        <v>8</v>
      </c>
      <c r="C11" s="383">
        <v>2.59</v>
      </c>
      <c r="D11" s="385">
        <v>4.2</v>
      </c>
      <c r="E11" s="113"/>
      <c r="F11" s="368"/>
      <c r="G11" s="742">
        <v>9</v>
      </c>
      <c r="H11" s="787"/>
      <c r="I11" s="383">
        <v>2.9</v>
      </c>
      <c r="J11" s="385">
        <v>3.85</v>
      </c>
      <c r="K11" s="113"/>
      <c r="L11" s="384">
        <v>8</v>
      </c>
      <c r="M11" s="383">
        <v>4.45</v>
      </c>
      <c r="N11" s="383">
        <v>4.9</v>
      </c>
      <c r="O11" s="113"/>
      <c r="P11" s="76"/>
      <c r="Q11" s="77"/>
      <c r="R11" s="114"/>
      <c r="S11" s="116"/>
      <c r="T11" s="77"/>
      <c r="U11" s="77"/>
      <c r="V11" s="77"/>
      <c r="W11" s="16"/>
    </row>
    <row r="12" spans="1:23" ht="12.75">
      <c r="A12" s="368"/>
      <c r="B12" s="384">
        <v>7</v>
      </c>
      <c r="C12" s="383">
        <v>1.68</v>
      </c>
      <c r="D12" s="385">
        <v>3.4</v>
      </c>
      <c r="E12" s="113"/>
      <c r="F12" s="368"/>
      <c r="G12" s="742">
        <v>8</v>
      </c>
      <c r="H12" s="787"/>
      <c r="I12" s="383">
        <v>2.1</v>
      </c>
      <c r="J12" s="385">
        <v>3.1</v>
      </c>
      <c r="K12" s="113"/>
      <c r="L12" s="384">
        <v>7</v>
      </c>
      <c r="M12" s="383">
        <v>3.95</v>
      </c>
      <c r="N12" s="383">
        <v>4.75</v>
      </c>
      <c r="O12" s="113"/>
      <c r="P12" s="76"/>
      <c r="Q12" s="77"/>
      <c r="R12" s="114"/>
      <c r="S12" s="116"/>
      <c r="T12" s="77"/>
      <c r="U12" s="77"/>
      <c r="V12" s="77"/>
      <c r="W12" s="16"/>
    </row>
    <row r="13" spans="1:23" ht="12.75">
      <c r="A13" s="368"/>
      <c r="B13" s="384">
        <v>6</v>
      </c>
      <c r="C13" s="383">
        <v>0.86</v>
      </c>
      <c r="D13" s="385">
        <v>2.2</v>
      </c>
      <c r="E13" s="113"/>
      <c r="F13" s="368"/>
      <c r="G13" s="742">
        <v>7</v>
      </c>
      <c r="H13" s="787"/>
      <c r="I13" s="383">
        <v>1.4</v>
      </c>
      <c r="J13" s="385">
        <v>2.25</v>
      </c>
      <c r="K13" s="113"/>
      <c r="L13" s="384">
        <v>6</v>
      </c>
      <c r="M13" s="383">
        <v>3.15</v>
      </c>
      <c r="N13" s="383">
        <v>4.25</v>
      </c>
      <c r="O13" s="113"/>
      <c r="P13" s="76"/>
      <c r="Q13" s="77"/>
      <c r="R13" s="114"/>
      <c r="S13" s="116"/>
      <c r="T13" s="77"/>
      <c r="U13" s="77"/>
      <c r="V13" s="77"/>
      <c r="W13" s="16"/>
    </row>
    <row r="14" spans="1:23" ht="12.75">
      <c r="A14" s="368"/>
      <c r="B14" s="384">
        <v>5</v>
      </c>
      <c r="C14" s="383">
        <v>0.38</v>
      </c>
      <c r="D14" s="385">
        <v>1.18</v>
      </c>
      <c r="E14" s="113"/>
      <c r="F14" s="368"/>
      <c r="G14" s="742">
        <v>6</v>
      </c>
      <c r="H14" s="787"/>
      <c r="I14" s="383">
        <v>0.8</v>
      </c>
      <c r="J14" s="385">
        <v>1.4</v>
      </c>
      <c r="K14" s="113"/>
      <c r="L14" s="384">
        <v>5</v>
      </c>
      <c r="M14" s="383">
        <v>2.25</v>
      </c>
      <c r="N14" s="383">
        <v>3.45</v>
      </c>
      <c r="O14" s="113"/>
      <c r="P14" s="76"/>
      <c r="Q14" s="77"/>
      <c r="R14" s="114"/>
      <c r="S14" s="116"/>
      <c r="T14" s="77"/>
      <c r="U14" s="77"/>
      <c r="V14" s="77"/>
      <c r="W14" s="16"/>
    </row>
    <row r="15" spans="1:23" ht="12.75">
      <c r="A15" s="368"/>
      <c r="B15" s="384">
        <v>4</v>
      </c>
      <c r="C15" s="383">
        <v>0.16</v>
      </c>
      <c r="D15" s="385">
        <v>0.52</v>
      </c>
      <c r="E15" s="113"/>
      <c r="F15" s="368"/>
      <c r="G15" s="742">
        <v>5</v>
      </c>
      <c r="H15" s="787"/>
      <c r="I15" s="383">
        <v>0.45</v>
      </c>
      <c r="J15" s="385">
        <v>0.8</v>
      </c>
      <c r="K15" s="113"/>
      <c r="L15" s="384">
        <v>4</v>
      </c>
      <c r="M15" s="383">
        <v>1.45</v>
      </c>
      <c r="N15" s="383">
        <v>2.4</v>
      </c>
      <c r="O15" s="113"/>
      <c r="P15" s="76"/>
      <c r="Q15" s="77"/>
      <c r="R15" s="114"/>
      <c r="S15" s="116"/>
      <c r="T15" s="77"/>
      <c r="U15" s="77"/>
      <c r="V15" s="77"/>
      <c r="W15" s="16"/>
    </row>
    <row r="16" spans="1:23" ht="12.75">
      <c r="A16" s="368"/>
      <c r="B16" s="384">
        <v>3</v>
      </c>
      <c r="C16" s="383">
        <v>0.04</v>
      </c>
      <c r="D16" s="385">
        <v>0.14</v>
      </c>
      <c r="E16" s="113"/>
      <c r="F16" s="368"/>
      <c r="G16" s="742">
        <v>4</v>
      </c>
      <c r="H16" s="787"/>
      <c r="I16" s="383">
        <v>0.2</v>
      </c>
      <c r="J16" s="385">
        <v>0.45</v>
      </c>
      <c r="K16" s="113"/>
      <c r="L16" s="384">
        <v>3</v>
      </c>
      <c r="M16" s="383">
        <v>0.75</v>
      </c>
      <c r="N16" s="383">
        <v>1.4</v>
      </c>
      <c r="O16" s="113"/>
      <c r="P16" s="76"/>
      <c r="Q16" s="77"/>
      <c r="R16" s="114"/>
      <c r="S16" s="116"/>
      <c r="T16" s="77"/>
      <c r="U16" s="77"/>
      <c r="V16" s="77"/>
      <c r="W16" s="16"/>
    </row>
    <row r="17" spans="1:23" ht="12.75">
      <c r="A17" s="368"/>
      <c r="B17" s="384">
        <v>2</v>
      </c>
      <c r="C17" s="383">
        <v>0.01</v>
      </c>
      <c r="D17" s="385">
        <v>0.05</v>
      </c>
      <c r="E17" s="113"/>
      <c r="F17" s="368"/>
      <c r="G17" s="742">
        <v>3</v>
      </c>
      <c r="H17" s="787"/>
      <c r="I17" s="383">
        <v>0.1</v>
      </c>
      <c r="J17" s="385">
        <v>0.15</v>
      </c>
      <c r="K17" s="113"/>
      <c r="L17" s="384">
        <v>2</v>
      </c>
      <c r="M17" s="383">
        <v>0.3</v>
      </c>
      <c r="N17" s="383">
        <v>0.5</v>
      </c>
      <c r="O17" s="113"/>
      <c r="P17" s="76"/>
      <c r="Q17" s="77"/>
      <c r="R17" s="114"/>
      <c r="S17" s="116"/>
      <c r="T17" s="77"/>
      <c r="U17" s="77"/>
      <c r="V17" s="77"/>
      <c r="W17" s="16"/>
    </row>
    <row r="18" spans="1:22" ht="13.5" thickBot="1">
      <c r="A18" s="368"/>
      <c r="B18" s="350">
        <v>1</v>
      </c>
      <c r="C18" s="386">
        <v>0</v>
      </c>
      <c r="D18" s="387">
        <v>0</v>
      </c>
      <c r="E18" s="113"/>
      <c r="F18" s="368"/>
      <c r="G18" s="742">
        <v>2</v>
      </c>
      <c r="H18" s="787"/>
      <c r="I18" s="383">
        <v>0</v>
      </c>
      <c r="J18" s="385">
        <v>0</v>
      </c>
      <c r="K18" s="113"/>
      <c r="L18" s="350">
        <v>1</v>
      </c>
      <c r="M18" s="386">
        <v>0</v>
      </c>
      <c r="N18" s="386">
        <v>0</v>
      </c>
      <c r="O18" s="113"/>
      <c r="P18" s="76"/>
      <c r="Q18" s="76"/>
      <c r="R18" s="114"/>
      <c r="S18" s="116"/>
      <c r="T18" s="77"/>
      <c r="U18" s="76"/>
      <c r="V18" s="76"/>
    </row>
    <row r="19" spans="1:22" ht="13.5" thickBot="1">
      <c r="A19" s="368"/>
      <c r="B19" s="390"/>
      <c r="C19" s="390"/>
      <c r="D19" s="390"/>
      <c r="E19" s="390"/>
      <c r="F19" s="368"/>
      <c r="G19" s="733">
        <v>1</v>
      </c>
      <c r="H19" s="692"/>
      <c r="I19" s="386">
        <v>0</v>
      </c>
      <c r="J19" s="387">
        <v>0</v>
      </c>
      <c r="K19" s="113"/>
      <c r="L19" s="113"/>
      <c r="M19" s="410"/>
      <c r="N19" s="390"/>
      <c r="O19" s="390"/>
      <c r="P19" s="77"/>
      <c r="Q19" s="76"/>
      <c r="R19" s="114"/>
      <c r="S19" s="116"/>
      <c r="T19" s="77"/>
      <c r="U19" s="76"/>
      <c r="V19" s="76"/>
    </row>
    <row r="20" spans="1:22" ht="12.75">
      <c r="A20" s="368"/>
      <c r="B20" s="390"/>
      <c r="C20" s="390"/>
      <c r="D20" s="390"/>
      <c r="E20" s="390"/>
      <c r="F20" s="390"/>
      <c r="G20" s="415"/>
      <c r="H20" s="113"/>
      <c r="I20" s="113"/>
      <c r="J20" s="401"/>
      <c r="K20" s="401"/>
      <c r="L20" s="390"/>
      <c r="M20" s="390"/>
      <c r="N20" s="113"/>
      <c r="O20" s="115"/>
      <c r="P20" s="77"/>
      <c r="Q20" s="76"/>
      <c r="R20" s="114"/>
      <c r="S20" s="116"/>
      <c r="T20" s="77"/>
      <c r="U20" s="76"/>
      <c r="V20" s="76"/>
    </row>
    <row r="21" spans="1:22" ht="15">
      <c r="A21" s="368"/>
      <c r="B21" s="633" t="s">
        <v>646</v>
      </c>
      <c r="C21" s="630"/>
      <c r="D21" s="630"/>
      <c r="E21" s="630"/>
      <c r="F21" s="630"/>
      <c r="G21" s="630"/>
      <c r="H21" s="630"/>
      <c r="I21" s="630"/>
      <c r="J21" s="630"/>
      <c r="K21" s="630"/>
      <c r="L21" s="630"/>
      <c r="M21" s="630"/>
      <c r="N21" s="31"/>
      <c r="O21" s="31"/>
      <c r="P21" s="77"/>
      <c r="Q21" s="76"/>
      <c r="R21" s="114"/>
      <c r="S21" s="116"/>
      <c r="T21" s="77"/>
      <c r="U21" s="76"/>
      <c r="V21" s="76"/>
    </row>
    <row r="22" spans="1:22" ht="13.5" thickBot="1">
      <c r="A22" s="368"/>
      <c r="B22" s="368"/>
      <c r="C22" s="368"/>
      <c r="D22" s="368"/>
      <c r="E22" s="368"/>
      <c r="F22" s="368"/>
      <c r="G22" s="368"/>
      <c r="H22" s="368"/>
      <c r="I22" s="368"/>
      <c r="J22" s="368"/>
      <c r="K22" s="368"/>
      <c r="L22" s="368"/>
      <c r="M22" s="368"/>
      <c r="N22" s="368"/>
      <c r="O22" s="113"/>
      <c r="P22" s="77"/>
      <c r="Q22" s="76"/>
      <c r="R22" s="114"/>
      <c r="S22" s="116"/>
      <c r="T22" s="77"/>
      <c r="U22" s="76"/>
      <c r="V22" s="76"/>
    </row>
    <row r="23" spans="1:22" ht="16.5" thickBot="1">
      <c r="A23" s="391"/>
      <c r="B23" s="416"/>
      <c r="C23" s="417"/>
      <c r="D23" s="418"/>
      <c r="E23" s="418"/>
      <c r="F23" s="418"/>
      <c r="G23" s="418"/>
      <c r="H23" s="419"/>
      <c r="I23" s="720" t="s">
        <v>195</v>
      </c>
      <c r="J23" s="721"/>
      <c r="K23" s="762"/>
      <c r="L23" s="720" t="s">
        <v>197</v>
      </c>
      <c r="M23" s="721"/>
      <c r="N23" s="762"/>
      <c r="O23" s="113"/>
      <c r="P23" s="77"/>
      <c r="Q23" s="76"/>
      <c r="R23" s="114"/>
      <c r="S23" s="116"/>
      <c r="T23" s="77"/>
      <c r="U23" s="76"/>
      <c r="V23" s="76"/>
    </row>
    <row r="24" spans="1:22" ht="13.5" thickBot="1">
      <c r="A24" s="389"/>
      <c r="B24" s="398"/>
      <c r="C24" s="398"/>
      <c r="D24" s="398"/>
      <c r="E24" s="398"/>
      <c r="F24" s="398"/>
      <c r="G24" s="398"/>
      <c r="H24" s="398"/>
      <c r="I24" s="634" t="s">
        <v>194</v>
      </c>
      <c r="J24" s="351" t="s">
        <v>196</v>
      </c>
      <c r="K24" s="371" t="s">
        <v>121</v>
      </c>
      <c r="L24" s="420" t="s">
        <v>194</v>
      </c>
      <c r="M24" s="351" t="s">
        <v>196</v>
      </c>
      <c r="N24" s="371" t="s">
        <v>121</v>
      </c>
      <c r="O24" s="113"/>
      <c r="P24" s="77"/>
      <c r="Q24" s="76"/>
      <c r="R24" s="114"/>
      <c r="S24" s="116"/>
      <c r="T24" s="77"/>
      <c r="U24" s="76"/>
      <c r="V24" s="76"/>
    </row>
    <row r="25" spans="1:22" ht="13.5" thickBot="1">
      <c r="A25" s="645"/>
      <c r="B25" s="646" t="s">
        <v>12</v>
      </c>
      <c r="C25" s="647"/>
      <c r="D25" s="647"/>
      <c r="E25" s="647"/>
      <c r="F25" s="647"/>
      <c r="G25" s="647"/>
      <c r="H25" s="423"/>
      <c r="I25" s="350">
        <f>SUM(I26:I35)</f>
        <v>0</v>
      </c>
      <c r="J25" s="350"/>
      <c r="K25" s="350">
        <f>SUM(K26:K35)</f>
        <v>0</v>
      </c>
      <c r="L25" s="350">
        <f>SUM(L26:L35)</f>
        <v>0</v>
      </c>
      <c r="M25" s="381"/>
      <c r="N25" s="381">
        <f>SUM(N26:N35)</f>
        <v>0</v>
      </c>
      <c r="O25" s="113"/>
      <c r="P25" s="77"/>
      <c r="Q25" s="76"/>
      <c r="R25" s="114"/>
      <c r="S25" s="116"/>
      <c r="T25" s="126"/>
      <c r="U25" s="76"/>
      <c r="V25" s="76"/>
    </row>
    <row r="26" spans="1:22" ht="15.75">
      <c r="A26" s="652">
        <v>1</v>
      </c>
      <c r="B26" s="653" t="s">
        <v>418</v>
      </c>
      <c r="C26" s="654"/>
      <c r="D26" s="654"/>
      <c r="E26" s="655"/>
      <c r="F26" s="655"/>
      <c r="G26" s="655"/>
      <c r="H26" s="368"/>
      <c r="I26" s="425"/>
      <c r="J26" s="425"/>
      <c r="K26" s="425"/>
      <c r="L26" s="425"/>
      <c r="M26" s="425"/>
      <c r="N26" s="408"/>
      <c r="O26" s="113"/>
      <c r="P26" s="77"/>
      <c r="Q26" s="76"/>
      <c r="R26" s="114"/>
      <c r="S26" s="116"/>
      <c r="T26" s="77"/>
      <c r="U26" s="76"/>
      <c r="V26" s="76"/>
    </row>
    <row r="27" spans="1:22" ht="15.75">
      <c r="A27" s="393"/>
      <c r="B27" s="651" t="s">
        <v>249</v>
      </c>
      <c r="C27" s="649"/>
      <c r="D27" s="649"/>
      <c r="E27" s="650"/>
      <c r="F27" s="650"/>
      <c r="G27" s="650"/>
      <c r="H27" s="368"/>
      <c r="I27" s="659">
        <f>'CUARTEL GENERAL'!E22+'CUARTEL GENERAL'!E23</f>
        <v>0</v>
      </c>
      <c r="J27" s="425">
        <f>C8</f>
        <v>5</v>
      </c>
      <c r="K27" s="425">
        <f aca="true" t="shared" si="0" ref="K27:K34">J27*(I27)</f>
        <v>0</v>
      </c>
      <c r="L27" s="425">
        <f aca="true" t="shared" si="1" ref="L27:L34">I27</f>
        <v>0</v>
      </c>
      <c r="M27" s="425">
        <f>I9</f>
        <v>5</v>
      </c>
      <c r="N27" s="408">
        <f aca="true" t="shared" si="2" ref="N27:N34">M27*(L27)</f>
        <v>0</v>
      </c>
      <c r="O27" s="113"/>
      <c r="P27" s="77"/>
      <c r="Q27" s="76"/>
      <c r="R27" s="114"/>
      <c r="S27" s="116"/>
      <c r="T27" s="77"/>
      <c r="U27" s="76"/>
      <c r="V27" s="76"/>
    </row>
    <row r="28" spans="1:22" ht="16.5" thickBot="1">
      <c r="A28" s="393"/>
      <c r="B28" s="651" t="s">
        <v>591</v>
      </c>
      <c r="C28" s="649"/>
      <c r="D28" s="649"/>
      <c r="E28" s="650"/>
      <c r="F28" s="650"/>
      <c r="G28" s="650"/>
      <c r="H28" s="368"/>
      <c r="I28" s="659">
        <f>('CUARTEL GENERAL'!H123)-I29</f>
        <v>0</v>
      </c>
      <c r="J28" s="425">
        <f>C9</f>
        <v>4.32</v>
      </c>
      <c r="K28" s="425">
        <f t="shared" si="0"/>
        <v>0</v>
      </c>
      <c r="L28" s="425">
        <f t="shared" si="1"/>
        <v>0</v>
      </c>
      <c r="M28" s="425">
        <f>I10</f>
        <v>3.55</v>
      </c>
      <c r="N28" s="408">
        <f t="shared" si="2"/>
        <v>0</v>
      </c>
      <c r="O28" s="113"/>
      <c r="P28" s="77"/>
      <c r="Q28" s="76"/>
      <c r="R28" s="114"/>
      <c r="S28" s="116"/>
      <c r="T28" s="77"/>
      <c r="U28" s="76"/>
      <c r="V28" s="76"/>
    </row>
    <row r="29" spans="1:22" ht="16.5" thickBot="1">
      <c r="A29" s="393"/>
      <c r="B29" s="651" t="s">
        <v>590</v>
      </c>
      <c r="C29" s="649"/>
      <c r="D29" s="649"/>
      <c r="E29" s="650"/>
      <c r="F29" s="650"/>
      <c r="G29" s="650"/>
      <c r="H29" s="368"/>
      <c r="I29" s="640"/>
      <c r="J29" s="425">
        <f>C8</f>
        <v>5</v>
      </c>
      <c r="K29" s="425">
        <f t="shared" si="0"/>
        <v>0</v>
      </c>
      <c r="L29" s="425">
        <f t="shared" si="1"/>
        <v>0</v>
      </c>
      <c r="M29" s="425">
        <f>C8</f>
        <v>5</v>
      </c>
      <c r="N29" s="408">
        <f t="shared" si="2"/>
        <v>0</v>
      </c>
      <c r="O29" s="113"/>
      <c r="P29" s="77"/>
      <c r="Q29" s="76"/>
      <c r="R29" s="114"/>
      <c r="S29" s="116"/>
      <c r="T29" s="77"/>
      <c r="U29" s="76"/>
      <c r="V29" s="76"/>
    </row>
    <row r="30" spans="1:22" ht="15.75">
      <c r="A30" s="393"/>
      <c r="B30" s="651" t="s">
        <v>272</v>
      </c>
      <c r="C30" s="649"/>
      <c r="D30" s="649"/>
      <c r="E30" s="650"/>
      <c r="F30" s="650"/>
      <c r="G30" s="650"/>
      <c r="H30" s="368"/>
      <c r="I30" s="659">
        <f>'CUARTEL GENERAL'!H124</f>
        <v>0</v>
      </c>
      <c r="J30" s="425">
        <f>C8</f>
        <v>5</v>
      </c>
      <c r="K30" s="425">
        <f t="shared" si="0"/>
        <v>0</v>
      </c>
      <c r="L30" s="425">
        <f t="shared" si="1"/>
        <v>0</v>
      </c>
      <c r="M30" s="425">
        <f>I9</f>
        <v>5</v>
      </c>
      <c r="N30" s="408">
        <f t="shared" si="2"/>
        <v>0</v>
      </c>
      <c r="O30" s="113"/>
      <c r="P30" s="77"/>
      <c r="Q30" s="76"/>
      <c r="R30" s="114"/>
      <c r="S30" s="116"/>
      <c r="T30" s="77"/>
      <c r="U30" s="76"/>
      <c r="V30" s="76"/>
    </row>
    <row r="31" spans="1:22" ht="16.5" thickBot="1">
      <c r="A31" s="393"/>
      <c r="B31" s="651" t="s">
        <v>593</v>
      </c>
      <c r="C31" s="649"/>
      <c r="D31" s="649"/>
      <c r="E31" s="650"/>
      <c r="F31" s="650"/>
      <c r="G31" s="650"/>
      <c r="H31" s="368"/>
      <c r="I31" s="659">
        <f>('CUARTEL GENERAL'!H125)-I32</f>
        <v>0</v>
      </c>
      <c r="J31" s="425">
        <f>C10</f>
        <v>3.5</v>
      </c>
      <c r="K31" s="425">
        <f t="shared" si="0"/>
        <v>0</v>
      </c>
      <c r="L31" s="425">
        <f t="shared" si="1"/>
        <v>0</v>
      </c>
      <c r="M31" s="425">
        <f>I11</f>
        <v>2.9</v>
      </c>
      <c r="N31" s="408">
        <f t="shared" si="2"/>
        <v>0</v>
      </c>
      <c r="O31" s="113"/>
      <c r="P31" s="77"/>
      <c r="Q31" s="76"/>
      <c r="R31" s="114"/>
      <c r="S31" s="116"/>
      <c r="T31" s="77"/>
      <c r="U31" s="76"/>
      <c r="V31" s="76"/>
    </row>
    <row r="32" spans="1:22" ht="16.5" thickBot="1">
      <c r="A32" s="393"/>
      <c r="B32" s="651" t="s">
        <v>594</v>
      </c>
      <c r="C32" s="649"/>
      <c r="D32" s="649"/>
      <c r="E32" s="650"/>
      <c r="F32" s="650"/>
      <c r="G32" s="650"/>
      <c r="H32" s="368"/>
      <c r="I32" s="640"/>
      <c r="J32" s="425">
        <f>C8</f>
        <v>5</v>
      </c>
      <c r="K32" s="425">
        <f t="shared" si="0"/>
        <v>0</v>
      </c>
      <c r="L32" s="425">
        <f t="shared" si="1"/>
        <v>0</v>
      </c>
      <c r="M32" s="425">
        <f>I9</f>
        <v>5</v>
      </c>
      <c r="N32" s="408">
        <f t="shared" si="2"/>
        <v>0</v>
      </c>
      <c r="O32" s="113"/>
      <c r="P32" s="77"/>
      <c r="Q32" s="76"/>
      <c r="R32" s="114"/>
      <c r="S32" s="116"/>
      <c r="T32" s="77"/>
      <c r="U32" s="76"/>
      <c r="V32" s="76"/>
    </row>
    <row r="33" spans="1:22" ht="6.75" customHeight="1">
      <c r="A33" s="393"/>
      <c r="B33" s="426"/>
      <c r="C33" s="390"/>
      <c r="D33" s="390"/>
      <c r="E33" s="368"/>
      <c r="F33" s="368"/>
      <c r="G33" s="368"/>
      <c r="H33" s="368"/>
      <c r="I33" s="425"/>
      <c r="J33" s="425"/>
      <c r="K33" s="425"/>
      <c r="L33" s="425"/>
      <c r="M33" s="425"/>
      <c r="N33" s="408"/>
      <c r="O33" s="113"/>
      <c r="P33" s="77"/>
      <c r="Q33" s="76"/>
      <c r="R33" s="114"/>
      <c r="S33" s="116"/>
      <c r="T33" s="77"/>
      <c r="U33" s="76"/>
      <c r="V33" s="76"/>
    </row>
    <row r="34" spans="1:22" ht="15.75">
      <c r="A34" s="652">
        <v>2</v>
      </c>
      <c r="B34" s="653" t="s">
        <v>420</v>
      </c>
      <c r="C34" s="654"/>
      <c r="D34" s="654"/>
      <c r="E34" s="655"/>
      <c r="F34" s="655"/>
      <c r="G34" s="655"/>
      <c r="H34" s="368"/>
      <c r="I34" s="635">
        <f>'CUARTEL GENERAL'!E97</f>
        <v>0</v>
      </c>
      <c r="J34" s="425">
        <f>C8</f>
        <v>5</v>
      </c>
      <c r="K34" s="425">
        <f t="shared" si="0"/>
        <v>0</v>
      </c>
      <c r="L34" s="425">
        <f t="shared" si="1"/>
        <v>0</v>
      </c>
      <c r="M34" s="425">
        <f>I9</f>
        <v>5</v>
      </c>
      <c r="N34" s="408">
        <f t="shared" si="2"/>
        <v>0</v>
      </c>
      <c r="O34" s="113"/>
      <c r="P34" s="77"/>
      <c r="Q34" s="76"/>
      <c r="R34" s="114"/>
      <c r="S34" s="116"/>
      <c r="T34" s="77"/>
      <c r="U34" s="76"/>
      <c r="V34" s="76"/>
    </row>
    <row r="35" spans="1:22" ht="9.75" customHeight="1" thickBot="1">
      <c r="A35" s="111"/>
      <c r="B35" s="424"/>
      <c r="C35" s="390"/>
      <c r="D35" s="390"/>
      <c r="E35" s="368"/>
      <c r="F35" s="368"/>
      <c r="G35" s="368"/>
      <c r="H35" s="368"/>
      <c r="I35" s="425"/>
      <c r="J35" s="425"/>
      <c r="K35" s="425"/>
      <c r="L35" s="425"/>
      <c r="M35" s="425"/>
      <c r="N35" s="408"/>
      <c r="O35" s="113"/>
      <c r="P35" s="77"/>
      <c r="Q35" s="76"/>
      <c r="R35" s="114"/>
      <c r="S35" s="116"/>
      <c r="T35" s="77"/>
      <c r="U35" s="76"/>
      <c r="V35" s="76"/>
    </row>
    <row r="36" spans="1:22" ht="13.5" thickBot="1">
      <c r="A36" s="656"/>
      <c r="B36" s="657" t="s">
        <v>13</v>
      </c>
      <c r="C36" s="658"/>
      <c r="D36" s="658"/>
      <c r="E36" s="658"/>
      <c r="F36" s="658"/>
      <c r="G36" s="658"/>
      <c r="H36" s="428"/>
      <c r="I36" s="381">
        <f>SUM(I38:I55)</f>
        <v>0</v>
      </c>
      <c r="J36" s="381"/>
      <c r="K36" s="381">
        <f>SUM(K38:K55)</f>
        <v>0</v>
      </c>
      <c r="L36" s="381">
        <f>SUM(L38:L55)</f>
        <v>0</v>
      </c>
      <c r="M36" s="381"/>
      <c r="N36" s="381">
        <f>SUM(N38:N55)</f>
        <v>0</v>
      </c>
      <c r="O36" s="788"/>
      <c r="P36" s="789"/>
      <c r="Q36" s="76"/>
      <c r="R36" s="114"/>
      <c r="S36" s="116"/>
      <c r="T36" s="77"/>
      <c r="U36" s="76"/>
      <c r="V36" s="76"/>
    </row>
    <row r="37" spans="1:22" ht="5.25" customHeight="1">
      <c r="A37" s="394"/>
      <c r="B37" s="111"/>
      <c r="C37" s="390"/>
      <c r="D37" s="390"/>
      <c r="E37" s="390"/>
      <c r="F37" s="390"/>
      <c r="G37" s="390"/>
      <c r="H37" s="390"/>
      <c r="I37" s="352"/>
      <c r="J37" s="352"/>
      <c r="K37" s="352"/>
      <c r="L37" s="352"/>
      <c r="M37" s="352"/>
      <c r="N37" s="384"/>
      <c r="O37" s="429"/>
      <c r="P37" s="79"/>
      <c r="Q37" s="76"/>
      <c r="R37" s="114"/>
      <c r="S37" s="116"/>
      <c r="T37" s="77"/>
      <c r="U37" s="76"/>
      <c r="V37" s="76"/>
    </row>
    <row r="38" spans="1:22" ht="15.75">
      <c r="A38" s="652">
        <v>1</v>
      </c>
      <c r="B38" s="653" t="s">
        <v>425</v>
      </c>
      <c r="C38" s="654"/>
      <c r="D38" s="654"/>
      <c r="E38" s="655"/>
      <c r="F38" s="655"/>
      <c r="G38" s="655"/>
      <c r="H38" s="368"/>
      <c r="I38" s="425"/>
      <c r="J38" s="425"/>
      <c r="K38" s="425"/>
      <c r="L38" s="425"/>
      <c r="M38" s="425"/>
      <c r="N38" s="408"/>
      <c r="O38" s="429"/>
      <c r="P38" s="117"/>
      <c r="Q38" s="76"/>
      <c r="R38" s="114"/>
      <c r="S38" s="116"/>
      <c r="T38" s="77"/>
      <c r="U38" s="76"/>
      <c r="V38" s="76"/>
    </row>
    <row r="39" spans="1:22" ht="12.75">
      <c r="A39" s="393"/>
      <c r="B39" s="660" t="s">
        <v>598</v>
      </c>
      <c r="C39" s="649"/>
      <c r="D39" s="649"/>
      <c r="E39" s="650"/>
      <c r="F39" s="650"/>
      <c r="G39" s="650"/>
      <c r="H39" s="368"/>
      <c r="I39" s="425"/>
      <c r="J39" s="425"/>
      <c r="K39" s="425"/>
      <c r="L39" s="425"/>
      <c r="M39" s="425"/>
      <c r="N39" s="408"/>
      <c r="O39" s="429"/>
      <c r="P39" s="117"/>
      <c r="Q39" s="76"/>
      <c r="R39" s="114"/>
      <c r="S39" s="116"/>
      <c r="T39" s="77"/>
      <c r="U39" s="76"/>
      <c r="V39" s="76"/>
    </row>
    <row r="40" spans="1:22" ht="12.75">
      <c r="A40" s="393"/>
      <c r="B40" s="649"/>
      <c r="C40" s="649" t="s">
        <v>595</v>
      </c>
      <c r="D40" s="649"/>
      <c r="E40" s="650"/>
      <c r="F40" s="650"/>
      <c r="G40" s="650"/>
      <c r="H40" s="368"/>
      <c r="I40" s="659">
        <f>(LINEA!E5)-'MORAL min'!I42-'MORAL min'!I44-'MORAL min'!I47-'MORAL min'!I49-'MORAL min'!I51</f>
        <v>0</v>
      </c>
      <c r="J40" s="425">
        <f>C10</f>
        <v>3.5</v>
      </c>
      <c r="K40" s="425">
        <f>J40*(I40)</f>
        <v>0</v>
      </c>
      <c r="L40" s="425">
        <f aca="true" t="shared" si="3" ref="L40:L45">I40</f>
        <v>0</v>
      </c>
      <c r="M40" s="425">
        <f>I11</f>
        <v>2.9</v>
      </c>
      <c r="N40" s="408">
        <f>M40*(L40)</f>
        <v>0</v>
      </c>
      <c r="O40" s="407"/>
      <c r="P40" s="118"/>
      <c r="Q40" s="76"/>
      <c r="R40" s="114"/>
      <c r="S40" s="116"/>
      <c r="T40" s="77"/>
      <c r="U40" s="76"/>
      <c r="V40" s="76"/>
    </row>
    <row r="41" spans="1:22" ht="13.5" thickBot="1">
      <c r="A41" s="393"/>
      <c r="B41" s="649"/>
      <c r="C41" s="649" t="s">
        <v>596</v>
      </c>
      <c r="D41" s="649"/>
      <c r="E41" s="650"/>
      <c r="F41" s="650"/>
      <c r="G41" s="650"/>
      <c r="H41" s="368"/>
      <c r="I41" s="659">
        <f>LINEA!E6-LINEA!E5-'MORAL min'!I43-'MORAL min'!I45-'MORAL min'!I48-'MORAL min'!I50-'MORAL min'!I52</f>
        <v>0</v>
      </c>
      <c r="J41" s="425">
        <f>C11</f>
        <v>2.59</v>
      </c>
      <c r="K41" s="425">
        <f aca="true" t="shared" si="4" ref="K41:K52">J41*(I41)</f>
        <v>0</v>
      </c>
      <c r="L41" s="425">
        <f t="shared" si="3"/>
        <v>0</v>
      </c>
      <c r="M41" s="425">
        <f>I12</f>
        <v>2.1</v>
      </c>
      <c r="N41" s="408">
        <f>M41*(L41)</f>
        <v>0</v>
      </c>
      <c r="O41" s="430"/>
      <c r="P41" s="120"/>
      <c r="Q41" s="76"/>
      <c r="R41" s="114"/>
      <c r="S41" s="116"/>
      <c r="T41" s="77"/>
      <c r="U41" s="76"/>
      <c r="V41" s="76"/>
    </row>
    <row r="42" spans="1:22" ht="13.5" thickBot="1">
      <c r="A42" s="393"/>
      <c r="B42" s="649"/>
      <c r="C42" s="649" t="s">
        <v>602</v>
      </c>
      <c r="D42" s="649"/>
      <c r="E42" s="650"/>
      <c r="F42" s="650"/>
      <c r="G42" s="650"/>
      <c r="H42" s="368"/>
      <c r="I42" s="640"/>
      <c r="J42" s="425">
        <f>J30</f>
        <v>5</v>
      </c>
      <c r="K42" s="425">
        <f t="shared" si="4"/>
        <v>0</v>
      </c>
      <c r="L42" s="425">
        <f t="shared" si="3"/>
        <v>0</v>
      </c>
      <c r="M42" s="425">
        <f>M30</f>
        <v>5</v>
      </c>
      <c r="N42" s="408">
        <f aca="true" t="shared" si="5" ref="N42:N52">M42*(L42)</f>
        <v>0</v>
      </c>
      <c r="O42" s="430"/>
      <c r="P42" s="120"/>
      <c r="Q42" s="76"/>
      <c r="R42" s="114"/>
      <c r="S42" s="116"/>
      <c r="T42" s="77"/>
      <c r="U42" s="76"/>
      <c r="V42" s="76"/>
    </row>
    <row r="43" spans="1:22" ht="13.5" thickBot="1">
      <c r="A43" s="393"/>
      <c r="B43" s="649"/>
      <c r="C43" s="649" t="s">
        <v>603</v>
      </c>
      <c r="D43" s="649"/>
      <c r="E43" s="650"/>
      <c r="F43" s="650"/>
      <c r="G43" s="650"/>
      <c r="H43" s="368"/>
      <c r="I43" s="641"/>
      <c r="J43" s="425">
        <f>J30</f>
        <v>5</v>
      </c>
      <c r="K43" s="425">
        <f t="shared" si="4"/>
        <v>0</v>
      </c>
      <c r="L43" s="425">
        <f t="shared" si="3"/>
        <v>0</v>
      </c>
      <c r="M43" s="425">
        <f>M30</f>
        <v>5</v>
      </c>
      <c r="N43" s="408">
        <f t="shared" si="5"/>
        <v>0</v>
      </c>
      <c r="O43" s="430"/>
      <c r="P43" s="120"/>
      <c r="Q43" s="76"/>
      <c r="R43" s="114"/>
      <c r="S43" s="116"/>
      <c r="T43" s="77"/>
      <c r="U43" s="76"/>
      <c r="V43" s="76"/>
    </row>
    <row r="44" spans="1:22" ht="13.5" thickBot="1">
      <c r="A44" s="393"/>
      <c r="B44" s="649"/>
      <c r="C44" s="649" t="s">
        <v>599</v>
      </c>
      <c r="D44" s="649"/>
      <c r="E44" s="650"/>
      <c r="F44" s="650"/>
      <c r="G44" s="650"/>
      <c r="H44" s="368"/>
      <c r="I44" s="640"/>
      <c r="J44" s="425">
        <f>C10</f>
        <v>3.5</v>
      </c>
      <c r="K44" s="425">
        <f t="shared" si="4"/>
        <v>0</v>
      </c>
      <c r="L44" s="425">
        <f t="shared" si="3"/>
        <v>0</v>
      </c>
      <c r="M44" s="425">
        <f>I11</f>
        <v>2.9</v>
      </c>
      <c r="N44" s="408">
        <f t="shared" si="5"/>
        <v>0</v>
      </c>
      <c r="O44" s="430"/>
      <c r="P44" s="120"/>
      <c r="Q44" s="76"/>
      <c r="R44" s="114"/>
      <c r="S44" s="116"/>
      <c r="T44" s="77"/>
      <c r="U44" s="76"/>
      <c r="V44" s="76"/>
    </row>
    <row r="45" spans="1:22" ht="13.5" thickBot="1">
      <c r="A45" s="393"/>
      <c r="B45" s="649"/>
      <c r="C45" s="649" t="s">
        <v>600</v>
      </c>
      <c r="D45" s="649"/>
      <c r="E45" s="650"/>
      <c r="F45" s="650"/>
      <c r="G45" s="650"/>
      <c r="H45" s="368"/>
      <c r="I45" s="640"/>
      <c r="J45" s="425">
        <f>C10</f>
        <v>3.5</v>
      </c>
      <c r="K45" s="425">
        <f t="shared" si="4"/>
        <v>0</v>
      </c>
      <c r="L45" s="425">
        <f t="shared" si="3"/>
        <v>0</v>
      </c>
      <c r="M45" s="425">
        <f>I11</f>
        <v>2.9</v>
      </c>
      <c r="N45" s="408">
        <f t="shared" si="5"/>
        <v>0</v>
      </c>
      <c r="O45" s="430"/>
      <c r="P45" s="120"/>
      <c r="Q45" s="76"/>
      <c r="R45" s="114"/>
      <c r="S45" s="116"/>
      <c r="T45" s="77"/>
      <c r="U45" s="76"/>
      <c r="V45" s="76"/>
    </row>
    <row r="46" spans="1:22" ht="13.5" thickBot="1">
      <c r="A46" s="393"/>
      <c r="B46" s="660" t="s">
        <v>597</v>
      </c>
      <c r="C46" s="649"/>
      <c r="D46" s="649"/>
      <c r="E46" s="650"/>
      <c r="F46" s="650"/>
      <c r="G46" s="650"/>
      <c r="H46" s="368"/>
      <c r="I46" s="425"/>
      <c r="J46" s="425"/>
      <c r="K46" s="425"/>
      <c r="L46" s="425"/>
      <c r="M46" s="425"/>
      <c r="N46" s="408">
        <f t="shared" si="5"/>
        <v>0</v>
      </c>
      <c r="O46" s="430"/>
      <c r="P46" s="120"/>
      <c r="Q46" s="76"/>
      <c r="R46" s="114"/>
      <c r="S46" s="116"/>
      <c r="T46" s="77"/>
      <c r="U46" s="76"/>
      <c r="V46" s="76"/>
    </row>
    <row r="47" spans="1:22" ht="12.75">
      <c r="A47" s="393"/>
      <c r="B47" s="649"/>
      <c r="C47" s="649" t="s">
        <v>595</v>
      </c>
      <c r="D47" s="649"/>
      <c r="E47" s="650"/>
      <c r="F47" s="650"/>
      <c r="G47" s="650"/>
      <c r="H47" s="368"/>
      <c r="I47" s="644"/>
      <c r="J47" s="401">
        <f>C9</f>
        <v>4.32</v>
      </c>
      <c r="K47" s="425">
        <f t="shared" si="4"/>
        <v>0</v>
      </c>
      <c r="L47" s="425">
        <f aca="true" t="shared" si="6" ref="L47:L52">I47</f>
        <v>0</v>
      </c>
      <c r="M47" s="425">
        <f>I10</f>
        <v>3.55</v>
      </c>
      <c r="N47" s="408">
        <f t="shared" si="5"/>
        <v>0</v>
      </c>
      <c r="O47" s="430"/>
      <c r="P47" s="120"/>
      <c r="Q47" s="76"/>
      <c r="R47" s="114"/>
      <c r="S47" s="116"/>
      <c r="T47" s="77"/>
      <c r="U47" s="76"/>
      <c r="V47" s="76"/>
    </row>
    <row r="48" spans="1:22" ht="12.75">
      <c r="A48" s="393"/>
      <c r="B48" s="649"/>
      <c r="C48" s="649" t="s">
        <v>596</v>
      </c>
      <c r="D48" s="649"/>
      <c r="E48" s="650"/>
      <c r="F48" s="650"/>
      <c r="G48" s="650"/>
      <c r="H48" s="368"/>
      <c r="I48" s="642"/>
      <c r="J48" s="401">
        <f>C9</f>
        <v>4.32</v>
      </c>
      <c r="K48" s="425">
        <f t="shared" si="4"/>
        <v>0</v>
      </c>
      <c r="L48" s="425">
        <f t="shared" si="6"/>
        <v>0</v>
      </c>
      <c r="M48" s="425">
        <f>I10</f>
        <v>3.55</v>
      </c>
      <c r="N48" s="408">
        <f t="shared" si="5"/>
        <v>0</v>
      </c>
      <c r="O48" s="430"/>
      <c r="P48" s="120"/>
      <c r="Q48" s="76"/>
      <c r="R48" s="114"/>
      <c r="S48" s="116"/>
      <c r="T48" s="77"/>
      <c r="U48" s="76"/>
      <c r="V48" s="76"/>
    </row>
    <row r="49" spans="1:22" ht="12.75">
      <c r="A49" s="393"/>
      <c r="B49" s="649"/>
      <c r="C49" s="649" t="s">
        <v>602</v>
      </c>
      <c r="D49" s="649"/>
      <c r="E49" s="650"/>
      <c r="F49" s="650"/>
      <c r="G49" s="650"/>
      <c r="H49" s="368"/>
      <c r="I49" s="642"/>
      <c r="J49" s="401">
        <f>C8</f>
        <v>5</v>
      </c>
      <c r="K49" s="425">
        <f t="shared" si="4"/>
        <v>0</v>
      </c>
      <c r="L49" s="425">
        <f t="shared" si="6"/>
        <v>0</v>
      </c>
      <c r="M49" s="425">
        <f>I9</f>
        <v>5</v>
      </c>
      <c r="N49" s="408">
        <f t="shared" si="5"/>
        <v>0</v>
      </c>
      <c r="O49" s="430"/>
      <c r="P49" s="120"/>
      <c r="Q49" s="76"/>
      <c r="R49" s="114"/>
      <c r="S49" s="116"/>
      <c r="T49" s="77"/>
      <c r="U49" s="76"/>
      <c r="V49" s="76"/>
    </row>
    <row r="50" spans="1:22" ht="12.75">
      <c r="A50" s="393"/>
      <c r="B50" s="649"/>
      <c r="C50" s="649" t="s">
        <v>603</v>
      </c>
      <c r="D50" s="649"/>
      <c r="E50" s="650"/>
      <c r="F50" s="650"/>
      <c r="G50" s="650"/>
      <c r="H50" s="368"/>
      <c r="I50" s="642"/>
      <c r="J50" s="401">
        <f>C8</f>
        <v>5</v>
      </c>
      <c r="K50" s="425">
        <f t="shared" si="4"/>
        <v>0</v>
      </c>
      <c r="L50" s="425">
        <f t="shared" si="6"/>
        <v>0</v>
      </c>
      <c r="M50" s="425">
        <f>I9</f>
        <v>5</v>
      </c>
      <c r="N50" s="408">
        <f t="shared" si="5"/>
        <v>0</v>
      </c>
      <c r="O50" s="430"/>
      <c r="P50" s="120"/>
      <c r="Q50" s="76"/>
      <c r="R50" s="114"/>
      <c r="S50" s="116"/>
      <c r="T50" s="77"/>
      <c r="U50" s="76"/>
      <c r="V50" s="76"/>
    </row>
    <row r="51" spans="1:22" ht="12.75">
      <c r="A51" s="393"/>
      <c r="B51" s="649"/>
      <c r="C51" s="649" t="s">
        <v>599</v>
      </c>
      <c r="D51" s="649"/>
      <c r="E51" s="650"/>
      <c r="F51" s="650"/>
      <c r="G51" s="650"/>
      <c r="H51" s="368"/>
      <c r="I51" s="642"/>
      <c r="J51" s="401">
        <f>C9</f>
        <v>4.32</v>
      </c>
      <c r="K51" s="425">
        <f t="shared" si="4"/>
        <v>0</v>
      </c>
      <c r="L51" s="425">
        <f t="shared" si="6"/>
        <v>0</v>
      </c>
      <c r="M51" s="425">
        <f>I10</f>
        <v>3.55</v>
      </c>
      <c r="N51" s="408">
        <f t="shared" si="5"/>
        <v>0</v>
      </c>
      <c r="O51" s="430"/>
      <c r="P51" s="120"/>
      <c r="Q51" s="76"/>
      <c r="R51" s="114"/>
      <c r="S51" s="116"/>
      <c r="T51" s="77"/>
      <c r="U51" s="76"/>
      <c r="V51" s="76"/>
    </row>
    <row r="52" spans="1:22" ht="13.5" thickBot="1">
      <c r="A52" s="393"/>
      <c r="B52" s="649"/>
      <c r="C52" s="649" t="s">
        <v>600</v>
      </c>
      <c r="D52" s="649"/>
      <c r="E52" s="650"/>
      <c r="F52" s="650"/>
      <c r="G52" s="650"/>
      <c r="H52" s="368"/>
      <c r="I52" s="643"/>
      <c r="J52" s="401">
        <f>C9</f>
        <v>4.32</v>
      </c>
      <c r="K52" s="425">
        <f t="shared" si="4"/>
        <v>0</v>
      </c>
      <c r="L52" s="425">
        <f t="shared" si="6"/>
        <v>0</v>
      </c>
      <c r="M52" s="425">
        <f>I10</f>
        <v>3.55</v>
      </c>
      <c r="N52" s="408">
        <f t="shared" si="5"/>
        <v>0</v>
      </c>
      <c r="O52" s="430"/>
      <c r="P52" s="120"/>
      <c r="Q52" s="76"/>
      <c r="R52" s="114"/>
      <c r="S52" s="116"/>
      <c r="T52" s="77"/>
      <c r="U52" s="76"/>
      <c r="V52" s="76"/>
    </row>
    <row r="53" spans="1:20" s="76" customFormat="1" ht="12.75">
      <c r="A53" s="393"/>
      <c r="B53" s="390"/>
      <c r="C53" s="390"/>
      <c r="D53" s="390"/>
      <c r="E53" s="368"/>
      <c r="F53" s="368"/>
      <c r="G53" s="368"/>
      <c r="H53" s="368"/>
      <c r="I53" s="425"/>
      <c r="J53" s="401"/>
      <c r="K53" s="425"/>
      <c r="L53" s="425"/>
      <c r="M53" s="425"/>
      <c r="N53" s="408"/>
      <c r="O53" s="430"/>
      <c r="P53" s="120"/>
      <c r="R53" s="114"/>
      <c r="S53" s="116"/>
      <c r="T53" s="77"/>
    </row>
    <row r="54" spans="1:22" ht="15.75">
      <c r="A54" s="652">
        <v>2</v>
      </c>
      <c r="B54" s="653" t="s">
        <v>430</v>
      </c>
      <c r="C54" s="654"/>
      <c r="D54" s="654"/>
      <c r="E54" s="655"/>
      <c r="F54" s="655"/>
      <c r="G54" s="655"/>
      <c r="H54" s="368"/>
      <c r="I54" s="635">
        <f>LINEA!E20+LINEA!E26+LINEA!E31</f>
        <v>0</v>
      </c>
      <c r="J54" s="425">
        <f>C8</f>
        <v>5</v>
      </c>
      <c r="K54" s="425">
        <f>J54*(I54)</f>
        <v>0</v>
      </c>
      <c r="L54" s="425"/>
      <c r="M54" s="425"/>
      <c r="N54" s="408"/>
      <c r="O54" s="430"/>
      <c r="P54" s="119"/>
      <c r="Q54" s="76"/>
      <c r="R54" s="114"/>
      <c r="S54" s="116"/>
      <c r="T54" s="77"/>
      <c r="U54" s="76"/>
      <c r="V54" s="76"/>
    </row>
    <row r="55" spans="1:22" ht="13.5" thickBot="1">
      <c r="A55" s="393">
        <v>6</v>
      </c>
      <c r="B55" s="390"/>
      <c r="C55" s="390"/>
      <c r="D55" s="390"/>
      <c r="E55" s="368"/>
      <c r="F55" s="368"/>
      <c r="G55" s="368"/>
      <c r="H55" s="368"/>
      <c r="I55" s="425"/>
      <c r="J55" s="425"/>
      <c r="K55" s="425">
        <f>J55*(I55)</f>
        <v>0</v>
      </c>
      <c r="L55" s="425"/>
      <c r="M55" s="425"/>
      <c r="N55" s="408"/>
      <c r="O55" s="430"/>
      <c r="P55" s="120"/>
      <c r="Q55" s="76"/>
      <c r="R55" s="114"/>
      <c r="S55" s="116"/>
      <c r="T55" s="639"/>
      <c r="U55" s="76"/>
      <c r="V55" s="76"/>
    </row>
    <row r="56" spans="1:22" ht="13.5" thickBot="1">
      <c r="A56" s="671"/>
      <c r="B56" s="672" t="s">
        <v>14</v>
      </c>
      <c r="C56" s="673"/>
      <c r="D56" s="673"/>
      <c r="E56" s="673"/>
      <c r="F56" s="673"/>
      <c r="G56" s="673"/>
      <c r="H56" s="428"/>
      <c r="I56" s="381">
        <f>SUM(I58:I87)</f>
        <v>0</v>
      </c>
      <c r="J56" s="381"/>
      <c r="K56" s="381">
        <f>SUM(K58:K87)</f>
        <v>0</v>
      </c>
      <c r="L56" s="381">
        <f>SUM(L58:L87)</f>
        <v>1</v>
      </c>
      <c r="M56" s="381"/>
      <c r="N56" s="381">
        <f>SUM(N58:N87)</f>
        <v>5</v>
      </c>
      <c r="O56" s="430"/>
      <c r="P56" s="120"/>
      <c r="Q56" s="76"/>
      <c r="R56" s="114"/>
      <c r="S56" s="116"/>
      <c r="T56" s="77"/>
      <c r="U56" s="76"/>
      <c r="V56" s="76"/>
    </row>
    <row r="57" spans="1:22" ht="6" customHeight="1">
      <c r="A57" s="394"/>
      <c r="B57" s="111"/>
      <c r="C57" s="390"/>
      <c r="D57" s="390"/>
      <c r="E57" s="390"/>
      <c r="F57" s="390"/>
      <c r="G57" s="390"/>
      <c r="H57" s="390"/>
      <c r="I57" s="352"/>
      <c r="J57" s="352"/>
      <c r="K57" s="352"/>
      <c r="L57" s="352"/>
      <c r="M57" s="352"/>
      <c r="N57" s="384"/>
      <c r="O57" s="430"/>
      <c r="P57" s="120"/>
      <c r="Q57" s="76"/>
      <c r="R57" s="114"/>
      <c r="S57" s="116"/>
      <c r="T57" s="77"/>
      <c r="U57" s="76"/>
      <c r="V57" s="76"/>
    </row>
    <row r="58" spans="1:22" ht="15.75">
      <c r="A58" s="652">
        <v>1</v>
      </c>
      <c r="B58" s="653" t="s">
        <v>538</v>
      </c>
      <c r="C58" s="654"/>
      <c r="D58" s="654"/>
      <c r="E58" s="655"/>
      <c r="F58" s="655"/>
      <c r="G58" s="655"/>
      <c r="H58" s="368"/>
      <c r="I58" s="635">
        <f>ELITE!E12</f>
        <v>0</v>
      </c>
      <c r="J58" s="425">
        <f>C8</f>
        <v>5</v>
      </c>
      <c r="K58" s="425">
        <f>I58*J58</f>
        <v>0</v>
      </c>
      <c r="L58" s="425">
        <v>1</v>
      </c>
      <c r="M58" s="425">
        <f>I9</f>
        <v>5</v>
      </c>
      <c r="N58" s="408">
        <f>L58*M58</f>
        <v>5</v>
      </c>
      <c r="O58" s="430"/>
      <c r="P58" s="120"/>
      <c r="Q58" s="76"/>
      <c r="R58" s="114"/>
      <c r="S58" s="116"/>
      <c r="T58" s="80"/>
      <c r="U58" s="76"/>
      <c r="V58" s="76"/>
    </row>
    <row r="59" spans="1:22" ht="6.75" customHeight="1">
      <c r="A59" s="393"/>
      <c r="B59" s="424"/>
      <c r="C59" s="390"/>
      <c r="D59" s="390"/>
      <c r="E59" s="368"/>
      <c r="F59" s="368"/>
      <c r="G59" s="368"/>
      <c r="H59" s="368"/>
      <c r="I59" s="425"/>
      <c r="J59" s="425"/>
      <c r="K59" s="425"/>
      <c r="L59" s="425"/>
      <c r="M59" s="425"/>
      <c r="N59" s="408"/>
      <c r="O59" s="430"/>
      <c r="P59" s="120"/>
      <c r="Q59" s="76"/>
      <c r="R59" s="114"/>
      <c r="S59" s="116"/>
      <c r="T59" s="80"/>
      <c r="U59" s="76"/>
      <c r="V59" s="76"/>
    </row>
    <row r="60" spans="1:22" ht="15.75">
      <c r="A60" s="652">
        <v>2</v>
      </c>
      <c r="B60" s="653" t="s">
        <v>539</v>
      </c>
      <c r="C60" s="654"/>
      <c r="D60" s="654"/>
      <c r="E60" s="655"/>
      <c r="F60" s="655"/>
      <c r="G60" s="655"/>
      <c r="H60" s="368"/>
      <c r="I60" s="635">
        <f>ELITE!E6</f>
        <v>0</v>
      </c>
      <c r="J60" s="425">
        <f>C8</f>
        <v>5</v>
      </c>
      <c r="K60" s="425">
        <f>I60*J60</f>
        <v>0</v>
      </c>
      <c r="L60" s="425">
        <f>I60</f>
        <v>0</v>
      </c>
      <c r="M60" s="425">
        <f>I9</f>
        <v>5</v>
      </c>
      <c r="N60" s="408">
        <f>L60*M60</f>
        <v>0</v>
      </c>
      <c r="O60" s="430"/>
      <c r="P60" s="120"/>
      <c r="Q60" s="76"/>
      <c r="R60" s="114"/>
      <c r="S60" s="116"/>
      <c r="T60" s="77"/>
      <c r="U60" s="76"/>
      <c r="V60" s="76"/>
    </row>
    <row r="61" spans="1:20" s="76" customFormat="1" ht="6" customHeight="1">
      <c r="A61" s="393"/>
      <c r="B61" s="424"/>
      <c r="C61" s="390"/>
      <c r="D61" s="390"/>
      <c r="E61" s="368"/>
      <c r="F61" s="368"/>
      <c r="G61" s="368"/>
      <c r="H61" s="368"/>
      <c r="I61" s="425"/>
      <c r="J61" s="425"/>
      <c r="K61" s="425"/>
      <c r="L61" s="425"/>
      <c r="M61" s="425"/>
      <c r="N61" s="408"/>
      <c r="O61" s="430"/>
      <c r="P61" s="120"/>
      <c r="R61" s="114"/>
      <c r="S61" s="116"/>
      <c r="T61" s="77"/>
    </row>
    <row r="62" spans="1:22" ht="16.5" thickBot="1">
      <c r="A62" s="652">
        <v>3</v>
      </c>
      <c r="B62" s="653" t="s">
        <v>301</v>
      </c>
      <c r="C62" s="654"/>
      <c r="D62" s="654"/>
      <c r="E62" s="655"/>
      <c r="F62" s="655"/>
      <c r="G62" s="655"/>
      <c r="H62" s="368"/>
      <c r="I62" s="635">
        <f>ELITE!E23-I63-I64</f>
        <v>0</v>
      </c>
      <c r="J62" s="425">
        <f>C10</f>
        <v>3.5</v>
      </c>
      <c r="K62" s="425">
        <f aca="true" t="shared" si="7" ref="K62:K86">I62*J62</f>
        <v>0</v>
      </c>
      <c r="L62" s="425">
        <f aca="true" t="shared" si="8" ref="L62:L86">I62</f>
        <v>0</v>
      </c>
      <c r="M62" s="425">
        <f>I11</f>
        <v>2.9</v>
      </c>
      <c r="N62" s="408">
        <f aca="true" t="shared" si="9" ref="N62:N86">L62*M62</f>
        <v>0</v>
      </c>
      <c r="O62" s="430"/>
      <c r="P62" s="120"/>
      <c r="Q62" s="76"/>
      <c r="R62" s="114"/>
      <c r="S62" s="116"/>
      <c r="T62" s="77"/>
      <c r="U62" s="76"/>
      <c r="V62" s="76"/>
    </row>
    <row r="63" spans="1:22" ht="15.75">
      <c r="A63" s="111"/>
      <c r="B63" s="648"/>
      <c r="C63" s="660" t="s">
        <v>597</v>
      </c>
      <c r="D63" s="649"/>
      <c r="E63" s="650"/>
      <c r="F63" s="650"/>
      <c r="G63" s="650"/>
      <c r="H63" s="368"/>
      <c r="I63" s="644"/>
      <c r="J63" s="401">
        <f>C9</f>
        <v>4.32</v>
      </c>
      <c r="K63" s="425">
        <f t="shared" si="7"/>
        <v>0</v>
      </c>
      <c r="L63" s="425">
        <f t="shared" si="8"/>
        <v>0</v>
      </c>
      <c r="M63" s="425">
        <f>I10</f>
        <v>3.55</v>
      </c>
      <c r="N63" s="408">
        <f t="shared" si="9"/>
        <v>0</v>
      </c>
      <c r="O63" s="430"/>
      <c r="P63" s="120"/>
      <c r="Q63" s="76"/>
      <c r="R63" s="114"/>
      <c r="S63" s="116"/>
      <c r="T63" s="77"/>
      <c r="U63" s="76"/>
      <c r="V63" s="76"/>
    </row>
    <row r="64" spans="1:22" ht="16.5" thickBot="1">
      <c r="A64" s="111"/>
      <c r="B64" s="648"/>
      <c r="C64" s="660" t="s">
        <v>601</v>
      </c>
      <c r="D64" s="649"/>
      <c r="E64" s="650"/>
      <c r="F64" s="650"/>
      <c r="G64" s="650"/>
      <c r="H64" s="368"/>
      <c r="I64" s="643"/>
      <c r="J64" s="401">
        <f>C8</f>
        <v>5</v>
      </c>
      <c r="K64" s="425">
        <f t="shared" si="7"/>
        <v>0</v>
      </c>
      <c r="L64" s="425">
        <f t="shared" si="8"/>
        <v>0</v>
      </c>
      <c r="M64" s="425">
        <f>I9</f>
        <v>5</v>
      </c>
      <c r="N64" s="408">
        <f t="shared" si="9"/>
        <v>0</v>
      </c>
      <c r="O64" s="430"/>
      <c r="P64" s="120"/>
      <c r="Q64" s="76"/>
      <c r="R64" s="114"/>
      <c r="S64" s="116"/>
      <c r="T64" s="77"/>
      <c r="U64" s="76"/>
      <c r="V64" s="76"/>
    </row>
    <row r="65" spans="1:22" ht="7.5" customHeight="1">
      <c r="A65" s="111"/>
      <c r="B65" s="424"/>
      <c r="C65" s="111"/>
      <c r="D65" s="390"/>
      <c r="E65" s="368"/>
      <c r="F65" s="368"/>
      <c r="G65" s="368"/>
      <c r="H65" s="368"/>
      <c r="I65" s="401"/>
      <c r="J65" s="401"/>
      <c r="K65" s="425"/>
      <c r="L65" s="425"/>
      <c r="M65" s="425"/>
      <c r="N65" s="408"/>
      <c r="O65" s="430"/>
      <c r="P65" s="120"/>
      <c r="Q65" s="76"/>
      <c r="R65" s="114"/>
      <c r="S65" s="116"/>
      <c r="T65" s="77"/>
      <c r="U65" s="76"/>
      <c r="V65" s="76"/>
    </row>
    <row r="66" spans="1:22" ht="15.75">
      <c r="A66" s="652">
        <v>4</v>
      </c>
      <c r="B66" s="653" t="s">
        <v>604</v>
      </c>
      <c r="C66" s="654"/>
      <c r="D66" s="654"/>
      <c r="E66" s="655"/>
      <c r="F66" s="655"/>
      <c r="G66" s="655"/>
      <c r="H66" s="368"/>
      <c r="I66" s="401"/>
      <c r="J66" s="401"/>
      <c r="K66" s="425"/>
      <c r="L66" s="425"/>
      <c r="M66" s="425"/>
      <c r="N66" s="408"/>
      <c r="O66" s="430"/>
      <c r="P66" s="120"/>
      <c r="Q66" s="76"/>
      <c r="R66" s="114"/>
      <c r="S66" s="116"/>
      <c r="T66" s="77"/>
      <c r="U66" s="76"/>
      <c r="V66" s="76"/>
    </row>
    <row r="67" spans="1:22" ht="12.75">
      <c r="A67" s="111"/>
      <c r="B67" s="660" t="s">
        <v>598</v>
      </c>
      <c r="C67" s="649"/>
      <c r="D67" s="649"/>
      <c r="E67" s="650"/>
      <c r="F67" s="650"/>
      <c r="G67" s="650"/>
      <c r="H67" s="368"/>
      <c r="I67" s="401"/>
      <c r="J67" s="401"/>
      <c r="K67" s="425"/>
      <c r="L67" s="425"/>
      <c r="M67" s="425"/>
      <c r="N67" s="408"/>
      <c r="O67" s="430"/>
      <c r="P67" s="120"/>
      <c r="Q67" s="76"/>
      <c r="R67" s="114"/>
      <c r="S67" s="116"/>
      <c r="T67" s="77"/>
      <c r="U67" s="76"/>
      <c r="V67" s="76"/>
    </row>
    <row r="68" spans="1:22" ht="12.75">
      <c r="A68" s="111"/>
      <c r="B68" s="649"/>
      <c r="C68" s="649" t="s">
        <v>595</v>
      </c>
      <c r="D68" s="649"/>
      <c r="E68" s="650"/>
      <c r="F68" s="650"/>
      <c r="G68" s="650"/>
      <c r="H68" s="368"/>
      <c r="I68" s="661">
        <f>ELITE!E36-I70-I72-I75-I77-I79</f>
        <v>0</v>
      </c>
      <c r="J68" s="401">
        <f>J40</f>
        <v>3.5</v>
      </c>
      <c r="K68" s="425">
        <f t="shared" si="7"/>
        <v>0</v>
      </c>
      <c r="L68" s="425">
        <f t="shared" si="8"/>
        <v>0</v>
      </c>
      <c r="M68" s="425">
        <f>M40</f>
        <v>2.9</v>
      </c>
      <c r="N68" s="408">
        <f t="shared" si="9"/>
        <v>0</v>
      </c>
      <c r="O68" s="430"/>
      <c r="P68" s="120"/>
      <c r="Q68" s="76"/>
      <c r="R68" s="114"/>
      <c r="S68" s="116"/>
      <c r="T68" s="77"/>
      <c r="U68" s="76"/>
      <c r="V68" s="76"/>
    </row>
    <row r="69" spans="1:22" ht="13.5" thickBot="1">
      <c r="A69" s="111"/>
      <c r="B69" s="649"/>
      <c r="C69" s="649" t="s">
        <v>596</v>
      </c>
      <c r="D69" s="649"/>
      <c r="E69" s="650"/>
      <c r="F69" s="650"/>
      <c r="G69" s="650"/>
      <c r="H69" s="368"/>
      <c r="I69" s="661">
        <f>ELITE!E37-ELITE!E36-I71-I73-I76-I78-I80</f>
        <v>0</v>
      </c>
      <c r="J69" s="401">
        <f aca="true" t="shared" si="10" ref="J69:J80">J41</f>
        <v>2.59</v>
      </c>
      <c r="K69" s="425">
        <f t="shared" si="7"/>
        <v>0</v>
      </c>
      <c r="L69" s="425">
        <f t="shared" si="8"/>
        <v>0</v>
      </c>
      <c r="M69" s="425">
        <f aca="true" t="shared" si="11" ref="M69:M80">M41</f>
        <v>2.1</v>
      </c>
      <c r="N69" s="408">
        <f t="shared" si="9"/>
        <v>0</v>
      </c>
      <c r="O69" s="430"/>
      <c r="P69" s="120"/>
      <c r="Q69" s="76"/>
      <c r="R69" s="114"/>
      <c r="S69" s="116"/>
      <c r="T69" s="77"/>
      <c r="U69" s="76"/>
      <c r="V69" s="76"/>
    </row>
    <row r="70" spans="1:22" ht="12.75">
      <c r="A70" s="111"/>
      <c r="B70" s="649"/>
      <c r="C70" s="649" t="s">
        <v>602</v>
      </c>
      <c r="D70" s="649"/>
      <c r="E70" s="650"/>
      <c r="F70" s="650"/>
      <c r="G70" s="650"/>
      <c r="H70" s="368"/>
      <c r="I70" s="644"/>
      <c r="J70" s="401">
        <f t="shared" si="10"/>
        <v>5</v>
      </c>
      <c r="K70" s="425">
        <f t="shared" si="7"/>
        <v>0</v>
      </c>
      <c r="L70" s="425">
        <f t="shared" si="8"/>
        <v>0</v>
      </c>
      <c r="M70" s="425">
        <f t="shared" si="11"/>
        <v>5</v>
      </c>
      <c r="N70" s="408">
        <f t="shared" si="9"/>
        <v>0</v>
      </c>
      <c r="O70" s="430"/>
      <c r="P70" s="120"/>
      <c r="Q70" s="76"/>
      <c r="R70" s="114"/>
      <c r="S70" s="116"/>
      <c r="T70" s="77"/>
      <c r="U70" s="76"/>
      <c r="V70" s="76"/>
    </row>
    <row r="71" spans="1:22" ht="12.75">
      <c r="A71" s="111"/>
      <c r="B71" s="649"/>
      <c r="C71" s="649" t="s">
        <v>603</v>
      </c>
      <c r="D71" s="649"/>
      <c r="E71" s="650"/>
      <c r="F71" s="650"/>
      <c r="G71" s="650"/>
      <c r="H71" s="368"/>
      <c r="I71" s="642"/>
      <c r="J71" s="401">
        <f t="shared" si="10"/>
        <v>5</v>
      </c>
      <c r="K71" s="425">
        <f t="shared" si="7"/>
        <v>0</v>
      </c>
      <c r="L71" s="425">
        <f t="shared" si="8"/>
        <v>0</v>
      </c>
      <c r="M71" s="425">
        <f t="shared" si="11"/>
        <v>5</v>
      </c>
      <c r="N71" s="408">
        <f t="shared" si="9"/>
        <v>0</v>
      </c>
      <c r="O71" s="430"/>
      <c r="P71" s="120"/>
      <c r="Q71" s="76"/>
      <c r="R71" s="114"/>
      <c r="S71" s="116"/>
      <c r="T71" s="77"/>
      <c r="U71" s="76"/>
      <c r="V71" s="76"/>
    </row>
    <row r="72" spans="1:22" ht="12.75">
      <c r="A72" s="111"/>
      <c r="B72" s="649"/>
      <c r="C72" s="649" t="s">
        <v>599</v>
      </c>
      <c r="D72" s="649"/>
      <c r="E72" s="650"/>
      <c r="F72" s="650"/>
      <c r="G72" s="650"/>
      <c r="H72" s="368"/>
      <c r="I72" s="642"/>
      <c r="J72" s="401">
        <f t="shared" si="10"/>
        <v>3.5</v>
      </c>
      <c r="K72" s="425">
        <f t="shared" si="7"/>
        <v>0</v>
      </c>
      <c r="L72" s="425">
        <f t="shared" si="8"/>
        <v>0</v>
      </c>
      <c r="M72" s="425">
        <f t="shared" si="11"/>
        <v>2.9</v>
      </c>
      <c r="N72" s="408">
        <f t="shared" si="9"/>
        <v>0</v>
      </c>
      <c r="O72" s="430"/>
      <c r="P72" s="120"/>
      <c r="Q72" s="76"/>
      <c r="R72" s="114"/>
      <c r="S72" s="116"/>
      <c r="T72" s="77"/>
      <c r="U72" s="76"/>
      <c r="V72" s="76"/>
    </row>
    <row r="73" spans="1:22" ht="13.5" thickBot="1">
      <c r="A73" s="111"/>
      <c r="B73" s="649"/>
      <c r="C73" s="649" t="s">
        <v>600</v>
      </c>
      <c r="D73" s="649"/>
      <c r="E73" s="650"/>
      <c r="F73" s="650"/>
      <c r="G73" s="650"/>
      <c r="H73" s="368"/>
      <c r="I73" s="643"/>
      <c r="J73" s="401">
        <f t="shared" si="10"/>
        <v>3.5</v>
      </c>
      <c r="K73" s="425">
        <f t="shared" si="7"/>
        <v>0</v>
      </c>
      <c r="L73" s="425">
        <f t="shared" si="8"/>
        <v>0</v>
      </c>
      <c r="M73" s="425">
        <f t="shared" si="11"/>
        <v>2.9</v>
      </c>
      <c r="N73" s="408">
        <f t="shared" si="9"/>
        <v>0</v>
      </c>
      <c r="O73" s="430"/>
      <c r="P73" s="120"/>
      <c r="Q73" s="76"/>
      <c r="R73" s="114"/>
      <c r="S73" s="116"/>
      <c r="T73" s="77"/>
      <c r="U73" s="76"/>
      <c r="V73" s="76"/>
    </row>
    <row r="74" spans="1:22" ht="13.5" thickBot="1">
      <c r="A74" s="111"/>
      <c r="B74" s="660" t="s">
        <v>597</v>
      </c>
      <c r="C74" s="649"/>
      <c r="D74" s="649"/>
      <c r="E74" s="650"/>
      <c r="F74" s="650"/>
      <c r="G74" s="650"/>
      <c r="H74" s="368"/>
      <c r="I74" s="401"/>
      <c r="J74" s="401"/>
      <c r="K74" s="425"/>
      <c r="L74" s="425"/>
      <c r="M74" s="425"/>
      <c r="N74" s="408"/>
      <c r="O74" s="430"/>
      <c r="P74" s="120"/>
      <c r="Q74" s="76"/>
      <c r="R74" s="114"/>
      <c r="S74" s="116"/>
      <c r="T74" s="77"/>
      <c r="U74" s="76"/>
      <c r="V74" s="76"/>
    </row>
    <row r="75" spans="1:22" ht="12.75">
      <c r="A75" s="111"/>
      <c r="B75" s="649"/>
      <c r="C75" s="649" t="s">
        <v>595</v>
      </c>
      <c r="D75" s="649"/>
      <c r="E75" s="650"/>
      <c r="F75" s="650"/>
      <c r="G75" s="650"/>
      <c r="H75" s="368"/>
      <c r="I75" s="644"/>
      <c r="J75" s="401">
        <f t="shared" si="10"/>
        <v>4.32</v>
      </c>
      <c r="K75" s="425">
        <f t="shared" si="7"/>
        <v>0</v>
      </c>
      <c r="L75" s="425">
        <f t="shared" si="8"/>
        <v>0</v>
      </c>
      <c r="M75" s="425">
        <f t="shared" si="11"/>
        <v>3.55</v>
      </c>
      <c r="N75" s="408">
        <f t="shared" si="9"/>
        <v>0</v>
      </c>
      <c r="O75" s="430"/>
      <c r="P75" s="120"/>
      <c r="Q75" s="76"/>
      <c r="R75" s="114"/>
      <c r="S75" s="116"/>
      <c r="T75" s="77"/>
      <c r="U75" s="76"/>
      <c r="V75" s="76"/>
    </row>
    <row r="76" spans="1:22" ht="12.75">
      <c r="A76" s="111"/>
      <c r="B76" s="649"/>
      <c r="C76" s="649" t="s">
        <v>596</v>
      </c>
      <c r="D76" s="649"/>
      <c r="E76" s="650"/>
      <c r="F76" s="650"/>
      <c r="G76" s="650"/>
      <c r="H76" s="368"/>
      <c r="I76" s="642"/>
      <c r="J76" s="401">
        <f t="shared" si="10"/>
        <v>4.32</v>
      </c>
      <c r="K76" s="425">
        <f t="shared" si="7"/>
        <v>0</v>
      </c>
      <c r="L76" s="425">
        <f t="shared" si="8"/>
        <v>0</v>
      </c>
      <c r="M76" s="425">
        <f t="shared" si="11"/>
        <v>3.55</v>
      </c>
      <c r="N76" s="408">
        <f t="shared" si="9"/>
        <v>0</v>
      </c>
      <c r="O76" s="430"/>
      <c r="P76" s="120"/>
      <c r="Q76" s="76"/>
      <c r="R76" s="114"/>
      <c r="S76" s="116"/>
      <c r="T76" s="77"/>
      <c r="U76" s="76"/>
      <c r="V76" s="76"/>
    </row>
    <row r="77" spans="1:22" ht="12.75">
      <c r="A77" s="111"/>
      <c r="B77" s="649"/>
      <c r="C77" s="649" t="s">
        <v>602</v>
      </c>
      <c r="D77" s="649"/>
      <c r="E77" s="650"/>
      <c r="F77" s="650"/>
      <c r="G77" s="650"/>
      <c r="H77" s="368"/>
      <c r="I77" s="642"/>
      <c r="J77" s="401">
        <f t="shared" si="10"/>
        <v>5</v>
      </c>
      <c r="K77" s="425">
        <f t="shared" si="7"/>
        <v>0</v>
      </c>
      <c r="L77" s="425">
        <f t="shared" si="8"/>
        <v>0</v>
      </c>
      <c r="M77" s="425">
        <f t="shared" si="11"/>
        <v>5</v>
      </c>
      <c r="N77" s="408">
        <f t="shared" si="9"/>
        <v>0</v>
      </c>
      <c r="O77" s="430"/>
      <c r="P77" s="120"/>
      <c r="Q77" s="76"/>
      <c r="R77" s="114"/>
      <c r="S77" s="116"/>
      <c r="T77" s="77"/>
      <c r="U77" s="76"/>
      <c r="V77" s="76"/>
    </row>
    <row r="78" spans="1:22" ht="12.75">
      <c r="A78" s="111"/>
      <c r="B78" s="649"/>
      <c r="C78" s="649" t="s">
        <v>603</v>
      </c>
      <c r="D78" s="649"/>
      <c r="E78" s="650"/>
      <c r="F78" s="650"/>
      <c r="G78" s="650"/>
      <c r="H78" s="368"/>
      <c r="I78" s="642"/>
      <c r="J78" s="401">
        <f t="shared" si="10"/>
        <v>5</v>
      </c>
      <c r="K78" s="425">
        <f t="shared" si="7"/>
        <v>0</v>
      </c>
      <c r="L78" s="425">
        <f t="shared" si="8"/>
        <v>0</v>
      </c>
      <c r="M78" s="425">
        <f t="shared" si="11"/>
        <v>5</v>
      </c>
      <c r="N78" s="408">
        <f t="shared" si="9"/>
        <v>0</v>
      </c>
      <c r="O78" s="430"/>
      <c r="P78" s="120"/>
      <c r="Q78" s="76"/>
      <c r="R78" s="114"/>
      <c r="S78" s="116"/>
      <c r="T78" s="77"/>
      <c r="U78" s="76"/>
      <c r="V78" s="76"/>
    </row>
    <row r="79" spans="1:22" ht="12.75">
      <c r="A79" s="111"/>
      <c r="B79" s="649"/>
      <c r="C79" s="649" t="s">
        <v>599</v>
      </c>
      <c r="D79" s="649"/>
      <c r="E79" s="650"/>
      <c r="F79" s="650"/>
      <c r="G79" s="650"/>
      <c r="H79" s="368"/>
      <c r="I79" s="642"/>
      <c r="J79" s="401">
        <f t="shared" si="10"/>
        <v>4.32</v>
      </c>
      <c r="K79" s="425">
        <f t="shared" si="7"/>
        <v>0</v>
      </c>
      <c r="L79" s="425">
        <f t="shared" si="8"/>
        <v>0</v>
      </c>
      <c r="M79" s="425">
        <f t="shared" si="11"/>
        <v>3.55</v>
      </c>
      <c r="N79" s="408">
        <f t="shared" si="9"/>
        <v>0</v>
      </c>
      <c r="O79" s="430"/>
      <c r="P79" s="120"/>
      <c r="Q79" s="76"/>
      <c r="R79" s="114"/>
      <c r="S79" s="116"/>
      <c r="T79" s="77"/>
      <c r="U79" s="76"/>
      <c r="V79" s="76"/>
    </row>
    <row r="80" spans="1:22" ht="13.5" thickBot="1">
      <c r="A80" s="111"/>
      <c r="B80" s="649"/>
      <c r="C80" s="649" t="s">
        <v>600</v>
      </c>
      <c r="D80" s="649"/>
      <c r="E80" s="650"/>
      <c r="F80" s="650"/>
      <c r="G80" s="650"/>
      <c r="H80" s="368"/>
      <c r="I80" s="643"/>
      <c r="J80" s="401">
        <f t="shared" si="10"/>
        <v>4.32</v>
      </c>
      <c r="K80" s="425">
        <f t="shared" si="7"/>
        <v>0</v>
      </c>
      <c r="L80" s="425">
        <f t="shared" si="8"/>
        <v>0</v>
      </c>
      <c r="M80" s="425">
        <f t="shared" si="11"/>
        <v>3.55</v>
      </c>
      <c r="N80" s="408">
        <f t="shared" si="9"/>
        <v>0</v>
      </c>
      <c r="O80" s="430"/>
      <c r="P80" s="120"/>
      <c r="Q80" s="76"/>
      <c r="R80" s="114"/>
      <c r="S80" s="116"/>
      <c r="T80" s="77"/>
      <c r="U80" s="76"/>
      <c r="V80" s="76"/>
    </row>
    <row r="81" spans="1:22" ht="5.25" customHeight="1">
      <c r="A81" s="111"/>
      <c r="B81" s="390"/>
      <c r="C81" s="390"/>
      <c r="D81" s="390"/>
      <c r="E81" s="368"/>
      <c r="F81" s="368"/>
      <c r="G81" s="368"/>
      <c r="H81" s="368"/>
      <c r="I81" s="401"/>
      <c r="J81" s="401"/>
      <c r="K81" s="425"/>
      <c r="L81" s="425"/>
      <c r="M81" s="425"/>
      <c r="N81" s="408"/>
      <c r="O81" s="430"/>
      <c r="P81" s="120"/>
      <c r="Q81" s="76"/>
      <c r="R81" s="114"/>
      <c r="S81" s="116"/>
      <c r="T81" s="77"/>
      <c r="U81" s="76"/>
      <c r="V81" s="76"/>
    </row>
    <row r="82" spans="1:22" ht="15.75">
      <c r="A82" s="652">
        <v>5</v>
      </c>
      <c r="B82" s="653" t="s">
        <v>605</v>
      </c>
      <c r="C82" s="654"/>
      <c r="D82" s="654"/>
      <c r="E82" s="655"/>
      <c r="F82" s="655"/>
      <c r="G82" s="655"/>
      <c r="H82" s="368"/>
      <c r="I82" s="401"/>
      <c r="J82" s="401"/>
      <c r="K82" s="425"/>
      <c r="L82" s="425"/>
      <c r="M82" s="425"/>
      <c r="N82" s="408"/>
      <c r="O82" s="430"/>
      <c r="P82" s="120"/>
      <c r="Q82" s="76"/>
      <c r="R82" s="114"/>
      <c r="S82" s="116"/>
      <c r="T82" s="77"/>
      <c r="U82" s="76"/>
      <c r="V82" s="76"/>
    </row>
    <row r="83" spans="1:22" ht="12.75">
      <c r="A83" s="111"/>
      <c r="B83" s="660" t="s">
        <v>606</v>
      </c>
      <c r="C83" s="649"/>
      <c r="D83" s="649"/>
      <c r="E83" s="650"/>
      <c r="F83" s="650"/>
      <c r="G83" s="650"/>
      <c r="H83" s="368"/>
      <c r="I83" s="401"/>
      <c r="J83" s="401"/>
      <c r="K83" s="425"/>
      <c r="L83" s="425"/>
      <c r="M83" s="425"/>
      <c r="N83" s="408"/>
      <c r="O83" s="430"/>
      <c r="P83" s="120"/>
      <c r="Q83" s="76"/>
      <c r="R83" s="114"/>
      <c r="S83" s="116"/>
      <c r="T83" s="77"/>
      <c r="U83" s="76"/>
      <c r="V83" s="76"/>
    </row>
    <row r="84" spans="1:22" ht="13.5" thickBot="1">
      <c r="A84" s="111"/>
      <c r="B84" s="650"/>
      <c r="C84" s="662" t="s">
        <v>598</v>
      </c>
      <c r="D84" s="649"/>
      <c r="E84" s="650"/>
      <c r="F84" s="650"/>
      <c r="G84" s="650"/>
      <c r="H84" s="368"/>
      <c r="I84" s="632">
        <f>ELITE!E49-I85-I86</f>
        <v>0</v>
      </c>
      <c r="J84" s="401">
        <f>C10</f>
        <v>3.5</v>
      </c>
      <c r="K84" s="425">
        <f t="shared" si="7"/>
        <v>0</v>
      </c>
      <c r="L84" s="425">
        <f t="shared" si="8"/>
        <v>0</v>
      </c>
      <c r="M84" s="425">
        <f>I11</f>
        <v>2.9</v>
      </c>
      <c r="N84" s="408">
        <f t="shared" si="9"/>
        <v>0</v>
      </c>
      <c r="O84" s="430"/>
      <c r="P84" s="120"/>
      <c r="Q84" s="76"/>
      <c r="R84" s="114"/>
      <c r="S84" s="116"/>
      <c r="T84" s="77"/>
      <c r="U84" s="76"/>
      <c r="V84" s="76"/>
    </row>
    <row r="85" spans="1:22" ht="12.75">
      <c r="A85" s="111"/>
      <c r="B85" s="650"/>
      <c r="C85" s="662" t="s">
        <v>597</v>
      </c>
      <c r="D85" s="649"/>
      <c r="E85" s="650"/>
      <c r="F85" s="650"/>
      <c r="G85" s="650"/>
      <c r="H85" s="368"/>
      <c r="I85" s="644"/>
      <c r="J85" s="401">
        <f>C9</f>
        <v>4.32</v>
      </c>
      <c r="K85" s="425">
        <f t="shared" si="7"/>
        <v>0</v>
      </c>
      <c r="L85" s="425">
        <f t="shared" si="8"/>
        <v>0</v>
      </c>
      <c r="M85" s="425">
        <f>I10</f>
        <v>3.55</v>
      </c>
      <c r="N85" s="408">
        <f t="shared" si="9"/>
        <v>0</v>
      </c>
      <c r="O85" s="430"/>
      <c r="P85" s="120"/>
      <c r="Q85" s="76"/>
      <c r="R85" s="114"/>
      <c r="S85" s="116"/>
      <c r="T85" s="77"/>
      <c r="U85" s="76"/>
      <c r="V85" s="76"/>
    </row>
    <row r="86" spans="1:22" ht="13.5" thickBot="1">
      <c r="A86" s="111"/>
      <c r="B86" s="660" t="s">
        <v>607</v>
      </c>
      <c r="C86" s="649"/>
      <c r="D86" s="649"/>
      <c r="E86" s="650"/>
      <c r="F86" s="650"/>
      <c r="G86" s="650"/>
      <c r="H86" s="368"/>
      <c r="I86" s="643"/>
      <c r="J86" s="401">
        <f>C8</f>
        <v>5</v>
      </c>
      <c r="K86" s="425">
        <f t="shared" si="7"/>
        <v>0</v>
      </c>
      <c r="L86" s="425">
        <f t="shared" si="8"/>
        <v>0</v>
      </c>
      <c r="M86" s="425">
        <f>I9</f>
        <v>5</v>
      </c>
      <c r="N86" s="408">
        <f t="shared" si="9"/>
        <v>0</v>
      </c>
      <c r="O86" s="430"/>
      <c r="P86" s="120"/>
      <c r="Q86" s="76"/>
      <c r="R86" s="114"/>
      <c r="S86" s="116"/>
      <c r="T86" s="77"/>
      <c r="U86" s="76"/>
      <c r="V86" s="76"/>
    </row>
    <row r="87" spans="1:22" ht="13.5" thickBot="1">
      <c r="A87" s="368"/>
      <c r="B87" s="390"/>
      <c r="C87" s="390"/>
      <c r="D87" s="390"/>
      <c r="E87" s="368"/>
      <c r="F87" s="368"/>
      <c r="G87" s="368"/>
      <c r="H87" s="368"/>
      <c r="I87" s="401"/>
      <c r="J87" s="401"/>
      <c r="K87" s="425"/>
      <c r="L87" s="425"/>
      <c r="M87" s="425"/>
      <c r="N87" s="408"/>
      <c r="O87" s="430"/>
      <c r="P87" s="120"/>
      <c r="Q87" s="76"/>
      <c r="R87" s="114"/>
      <c r="S87" s="116"/>
      <c r="T87" s="77"/>
      <c r="U87" s="76"/>
      <c r="V87" s="76"/>
    </row>
    <row r="88" spans="1:22" ht="13.5" thickBot="1">
      <c r="A88" s="668"/>
      <c r="B88" s="669" t="s">
        <v>15</v>
      </c>
      <c r="C88" s="669"/>
      <c r="D88" s="670"/>
      <c r="E88" s="670"/>
      <c r="F88" s="670"/>
      <c r="G88" s="670"/>
      <c r="H88" s="428"/>
      <c r="I88" s="381">
        <f>SUM(I90:I112)</f>
        <v>0</v>
      </c>
      <c r="J88" s="381"/>
      <c r="K88" s="381">
        <f>SUM(K90:K112)</f>
        <v>0</v>
      </c>
      <c r="L88" s="381">
        <f>SUM(L90:L112)</f>
        <v>0</v>
      </c>
      <c r="M88" s="381"/>
      <c r="N88" s="381">
        <f>SUM(N90:N112)</f>
        <v>0</v>
      </c>
      <c r="O88" s="430"/>
      <c r="P88" s="120"/>
      <c r="Q88" s="76"/>
      <c r="R88" s="114"/>
      <c r="S88" s="116"/>
      <c r="T88" s="77"/>
      <c r="U88" s="76"/>
      <c r="V88" s="76"/>
    </row>
    <row r="89" spans="1:22" ht="5.25" customHeight="1">
      <c r="A89" s="396"/>
      <c r="B89" s="111"/>
      <c r="C89" s="111"/>
      <c r="D89" s="390"/>
      <c r="E89" s="390"/>
      <c r="F89" s="390"/>
      <c r="G89" s="390"/>
      <c r="H89" s="390"/>
      <c r="I89" s="113"/>
      <c r="J89" s="113"/>
      <c r="K89" s="352"/>
      <c r="L89" s="352"/>
      <c r="M89" s="352"/>
      <c r="N89" s="384"/>
      <c r="O89" s="430"/>
      <c r="P89" s="120"/>
      <c r="Q89" s="76"/>
      <c r="R89" s="114"/>
      <c r="S89" s="116"/>
      <c r="T89" s="77"/>
      <c r="U89" s="76"/>
      <c r="V89" s="76"/>
    </row>
    <row r="90" spans="1:22" ht="15.75">
      <c r="A90" s="652">
        <v>1</v>
      </c>
      <c r="B90" s="653" t="s">
        <v>608</v>
      </c>
      <c r="C90" s="654"/>
      <c r="D90" s="663"/>
      <c r="E90" s="655"/>
      <c r="F90" s="655"/>
      <c r="G90" s="655"/>
      <c r="H90" s="368"/>
      <c r="I90" s="401"/>
      <c r="J90" s="401"/>
      <c r="K90" s="425"/>
      <c r="L90" s="425"/>
      <c r="M90" s="425"/>
      <c r="N90" s="408"/>
      <c r="O90" s="430"/>
      <c r="P90" s="120"/>
      <c r="Q90" s="76"/>
      <c r="R90" s="114"/>
      <c r="S90" s="116"/>
      <c r="T90" s="77"/>
      <c r="U90" s="76"/>
      <c r="V90" s="76"/>
    </row>
    <row r="91" spans="1:22" ht="12.75">
      <c r="A91" s="393"/>
      <c r="B91" s="660" t="s">
        <v>598</v>
      </c>
      <c r="C91" s="649"/>
      <c r="D91" s="649"/>
      <c r="E91" s="650"/>
      <c r="F91" s="650"/>
      <c r="G91" s="650"/>
      <c r="H91" s="368"/>
      <c r="I91" s="401"/>
      <c r="J91" s="401"/>
      <c r="K91" s="425"/>
      <c r="L91" s="425"/>
      <c r="M91" s="425"/>
      <c r="N91" s="408"/>
      <c r="O91" s="433"/>
      <c r="P91" s="80"/>
      <c r="Q91" s="76"/>
      <c r="R91" s="114"/>
      <c r="S91" s="116"/>
      <c r="T91" s="77"/>
      <c r="U91" s="76"/>
      <c r="V91" s="76"/>
    </row>
    <row r="92" spans="1:22" ht="12.75">
      <c r="A92" s="393"/>
      <c r="B92" s="649"/>
      <c r="C92" s="649" t="s">
        <v>595</v>
      </c>
      <c r="D92" s="649"/>
      <c r="E92" s="650"/>
      <c r="F92" s="650"/>
      <c r="G92" s="650"/>
      <c r="H92" s="368"/>
      <c r="I92" s="661">
        <f>'A.RAPIDO'!E6-I94-I96-I99-I101-I103</f>
        <v>0</v>
      </c>
      <c r="J92" s="401">
        <f>J40</f>
        <v>3.5</v>
      </c>
      <c r="K92" s="425">
        <f aca="true" t="shared" si="12" ref="K92:K104">J92*(I92)</f>
        <v>0</v>
      </c>
      <c r="L92" s="425">
        <f>I92</f>
        <v>0</v>
      </c>
      <c r="M92" s="425">
        <f>M40</f>
        <v>2.9</v>
      </c>
      <c r="N92" s="408">
        <f aca="true" t="shared" si="13" ref="N92:N108">M92*(L92)</f>
        <v>0</v>
      </c>
      <c r="O92" s="433"/>
      <c r="P92" s="80"/>
      <c r="Q92" s="76"/>
      <c r="R92" s="114"/>
      <c r="S92" s="116"/>
      <c r="T92" s="77"/>
      <c r="U92" s="76"/>
      <c r="V92" s="76"/>
    </row>
    <row r="93" spans="1:22" ht="13.5" thickBot="1">
      <c r="A93" s="393"/>
      <c r="B93" s="649"/>
      <c r="C93" s="649" t="s">
        <v>596</v>
      </c>
      <c r="D93" s="649"/>
      <c r="E93" s="650"/>
      <c r="F93" s="650"/>
      <c r="G93" s="650"/>
      <c r="H93" s="368"/>
      <c r="I93" s="661">
        <f>'A.RAPIDO'!E7-'A.RAPIDO'!E6-I95-I97-I100-I102-I104</f>
        <v>0</v>
      </c>
      <c r="J93" s="401">
        <f aca="true" t="shared" si="14" ref="J93:J104">J41</f>
        <v>2.59</v>
      </c>
      <c r="K93" s="425">
        <f t="shared" si="12"/>
        <v>0</v>
      </c>
      <c r="L93" s="425">
        <f aca="true" t="shared" si="15" ref="L93:L108">I93</f>
        <v>0</v>
      </c>
      <c r="M93" s="425">
        <f aca="true" t="shared" si="16" ref="M93:M104">M41</f>
        <v>2.1</v>
      </c>
      <c r="N93" s="408">
        <f t="shared" si="13"/>
        <v>0</v>
      </c>
      <c r="O93" s="433"/>
      <c r="P93" s="80"/>
      <c r="Q93" s="76"/>
      <c r="R93" s="114"/>
      <c r="S93" s="116"/>
      <c r="T93" s="77"/>
      <c r="U93" s="76"/>
      <c r="V93" s="76"/>
    </row>
    <row r="94" spans="1:22" ht="12.75">
      <c r="A94" s="393"/>
      <c r="B94" s="649"/>
      <c r="C94" s="649" t="s">
        <v>602</v>
      </c>
      <c r="D94" s="649"/>
      <c r="E94" s="650"/>
      <c r="F94" s="650"/>
      <c r="G94" s="650"/>
      <c r="H94" s="368"/>
      <c r="I94" s="644"/>
      <c r="J94" s="401">
        <f t="shared" si="14"/>
        <v>5</v>
      </c>
      <c r="K94" s="425">
        <f t="shared" si="12"/>
        <v>0</v>
      </c>
      <c r="L94" s="425">
        <f t="shared" si="15"/>
        <v>0</v>
      </c>
      <c r="M94" s="425">
        <f t="shared" si="16"/>
        <v>5</v>
      </c>
      <c r="N94" s="408">
        <f t="shared" si="13"/>
        <v>0</v>
      </c>
      <c r="O94" s="433"/>
      <c r="P94" s="80"/>
      <c r="Q94" s="76"/>
      <c r="R94" s="114"/>
      <c r="S94" s="116"/>
      <c r="T94" s="77"/>
      <c r="U94" s="76"/>
      <c r="V94" s="76"/>
    </row>
    <row r="95" spans="1:22" ht="12.75">
      <c r="A95" s="393"/>
      <c r="B95" s="649"/>
      <c r="C95" s="649" t="s">
        <v>603</v>
      </c>
      <c r="D95" s="649"/>
      <c r="E95" s="650"/>
      <c r="F95" s="650"/>
      <c r="G95" s="650"/>
      <c r="H95" s="368"/>
      <c r="I95" s="642"/>
      <c r="J95" s="401">
        <f t="shared" si="14"/>
        <v>5</v>
      </c>
      <c r="K95" s="425">
        <f t="shared" si="12"/>
        <v>0</v>
      </c>
      <c r="L95" s="425">
        <f t="shared" si="15"/>
        <v>0</v>
      </c>
      <c r="M95" s="425">
        <f t="shared" si="16"/>
        <v>5</v>
      </c>
      <c r="N95" s="408">
        <f t="shared" si="13"/>
        <v>0</v>
      </c>
      <c r="O95" s="433"/>
      <c r="P95" s="80"/>
      <c r="Q95" s="76"/>
      <c r="R95" s="114"/>
      <c r="S95" s="116"/>
      <c r="T95" s="77"/>
      <c r="U95" s="76"/>
      <c r="V95" s="76"/>
    </row>
    <row r="96" spans="1:22" ht="12.75">
      <c r="A96" s="393"/>
      <c r="B96" s="649"/>
      <c r="C96" s="649" t="s">
        <v>599</v>
      </c>
      <c r="D96" s="649"/>
      <c r="E96" s="650"/>
      <c r="F96" s="650"/>
      <c r="G96" s="650"/>
      <c r="H96" s="368"/>
      <c r="I96" s="642"/>
      <c r="J96" s="401">
        <f t="shared" si="14"/>
        <v>3.5</v>
      </c>
      <c r="K96" s="425">
        <f t="shared" si="12"/>
        <v>0</v>
      </c>
      <c r="L96" s="425">
        <f t="shared" si="15"/>
        <v>0</v>
      </c>
      <c r="M96" s="425">
        <f t="shared" si="16"/>
        <v>2.9</v>
      </c>
      <c r="N96" s="408">
        <f t="shared" si="13"/>
        <v>0</v>
      </c>
      <c r="O96" s="433"/>
      <c r="P96" s="80"/>
      <c r="Q96" s="76"/>
      <c r="R96" s="114"/>
      <c r="S96" s="116"/>
      <c r="T96" s="77"/>
      <c r="U96" s="76"/>
      <c r="V96" s="76"/>
    </row>
    <row r="97" spans="1:22" ht="13.5" thickBot="1">
      <c r="A97" s="393"/>
      <c r="B97" s="649"/>
      <c r="C97" s="649" t="s">
        <v>600</v>
      </c>
      <c r="D97" s="649"/>
      <c r="E97" s="650"/>
      <c r="F97" s="650"/>
      <c r="G97" s="650"/>
      <c r="H97" s="368"/>
      <c r="I97" s="643"/>
      <c r="J97" s="401">
        <f t="shared" si="14"/>
        <v>3.5</v>
      </c>
      <c r="K97" s="425">
        <f t="shared" si="12"/>
        <v>0</v>
      </c>
      <c r="L97" s="425">
        <f t="shared" si="15"/>
        <v>0</v>
      </c>
      <c r="M97" s="425">
        <f t="shared" si="16"/>
        <v>2.9</v>
      </c>
      <c r="N97" s="408">
        <f t="shared" si="13"/>
        <v>0</v>
      </c>
      <c r="O97" s="433"/>
      <c r="P97" s="80"/>
      <c r="Q97" s="76"/>
      <c r="R97" s="114"/>
      <c r="S97" s="116"/>
      <c r="T97" s="77"/>
      <c r="U97" s="76"/>
      <c r="V97" s="76"/>
    </row>
    <row r="98" spans="1:22" ht="13.5" thickBot="1">
      <c r="A98" s="393"/>
      <c r="B98" s="660" t="s">
        <v>597</v>
      </c>
      <c r="C98" s="649"/>
      <c r="D98" s="649"/>
      <c r="E98" s="650"/>
      <c r="F98" s="650"/>
      <c r="G98" s="650"/>
      <c r="H98" s="368"/>
      <c r="I98" s="401"/>
      <c r="J98" s="401"/>
      <c r="K98" s="425"/>
      <c r="L98" s="425"/>
      <c r="M98" s="425"/>
      <c r="N98" s="408"/>
      <c r="O98" s="433"/>
      <c r="P98" s="80"/>
      <c r="Q98" s="76"/>
      <c r="R98" s="114"/>
      <c r="S98" s="116"/>
      <c r="T98" s="77"/>
      <c r="U98" s="76"/>
      <c r="V98" s="76"/>
    </row>
    <row r="99" spans="1:22" ht="12.75">
      <c r="A99" s="393"/>
      <c r="B99" s="649"/>
      <c r="C99" s="649" t="s">
        <v>595</v>
      </c>
      <c r="D99" s="649"/>
      <c r="E99" s="650"/>
      <c r="F99" s="650"/>
      <c r="G99" s="650"/>
      <c r="H99" s="368"/>
      <c r="I99" s="644"/>
      <c r="J99" s="401">
        <f t="shared" si="14"/>
        <v>4.32</v>
      </c>
      <c r="K99" s="425">
        <f t="shared" si="12"/>
        <v>0</v>
      </c>
      <c r="L99" s="425">
        <f t="shared" si="15"/>
        <v>0</v>
      </c>
      <c r="M99" s="425">
        <f t="shared" si="16"/>
        <v>3.55</v>
      </c>
      <c r="N99" s="408">
        <f t="shared" si="13"/>
        <v>0</v>
      </c>
      <c r="O99" s="433"/>
      <c r="P99" s="80"/>
      <c r="Q99" s="76"/>
      <c r="R99" s="114"/>
      <c r="S99" s="116"/>
      <c r="T99" s="77"/>
      <c r="U99" s="76"/>
      <c r="V99" s="76"/>
    </row>
    <row r="100" spans="1:22" ht="12.75">
      <c r="A100" s="393"/>
      <c r="B100" s="649"/>
      <c r="C100" s="649" t="s">
        <v>596</v>
      </c>
      <c r="D100" s="649"/>
      <c r="E100" s="650"/>
      <c r="F100" s="650"/>
      <c r="G100" s="650"/>
      <c r="H100" s="368"/>
      <c r="I100" s="642"/>
      <c r="J100" s="401">
        <f t="shared" si="14"/>
        <v>4.32</v>
      </c>
      <c r="K100" s="425">
        <f t="shared" si="12"/>
        <v>0</v>
      </c>
      <c r="L100" s="425">
        <f t="shared" si="15"/>
        <v>0</v>
      </c>
      <c r="M100" s="425">
        <f t="shared" si="16"/>
        <v>3.55</v>
      </c>
      <c r="N100" s="408">
        <f t="shared" si="13"/>
        <v>0</v>
      </c>
      <c r="O100" s="433"/>
      <c r="P100" s="80"/>
      <c r="Q100" s="76"/>
      <c r="R100" s="114"/>
      <c r="S100" s="116"/>
      <c r="T100" s="77"/>
      <c r="U100" s="76"/>
      <c r="V100" s="76"/>
    </row>
    <row r="101" spans="1:22" ht="12.75">
      <c r="A101" s="393"/>
      <c r="B101" s="649"/>
      <c r="C101" s="649" t="s">
        <v>602</v>
      </c>
      <c r="D101" s="649"/>
      <c r="E101" s="650"/>
      <c r="F101" s="650"/>
      <c r="G101" s="650"/>
      <c r="H101" s="368"/>
      <c r="I101" s="642"/>
      <c r="J101" s="401">
        <f t="shared" si="14"/>
        <v>5</v>
      </c>
      <c r="K101" s="425">
        <f t="shared" si="12"/>
        <v>0</v>
      </c>
      <c r="L101" s="425">
        <f t="shared" si="15"/>
        <v>0</v>
      </c>
      <c r="M101" s="425">
        <f t="shared" si="16"/>
        <v>5</v>
      </c>
      <c r="N101" s="408">
        <f t="shared" si="13"/>
        <v>0</v>
      </c>
      <c r="O101" s="433"/>
      <c r="P101" s="80"/>
      <c r="Q101" s="76"/>
      <c r="R101" s="114"/>
      <c r="S101" s="116"/>
      <c r="T101" s="77"/>
      <c r="U101" s="76"/>
      <c r="V101" s="76"/>
    </row>
    <row r="102" spans="1:22" ht="12.75">
      <c r="A102" s="393"/>
      <c r="B102" s="649"/>
      <c r="C102" s="649" t="s">
        <v>603</v>
      </c>
      <c r="D102" s="649"/>
      <c r="E102" s="650"/>
      <c r="F102" s="650"/>
      <c r="G102" s="650"/>
      <c r="H102" s="368"/>
      <c r="I102" s="642"/>
      <c r="J102" s="401">
        <f t="shared" si="14"/>
        <v>5</v>
      </c>
      <c r="K102" s="425">
        <f t="shared" si="12"/>
        <v>0</v>
      </c>
      <c r="L102" s="425">
        <f t="shared" si="15"/>
        <v>0</v>
      </c>
      <c r="M102" s="425">
        <f t="shared" si="16"/>
        <v>5</v>
      </c>
      <c r="N102" s="408">
        <f t="shared" si="13"/>
        <v>0</v>
      </c>
      <c r="O102" s="433"/>
      <c r="P102" s="80"/>
      <c r="Q102" s="76"/>
      <c r="R102" s="114"/>
      <c r="S102" s="116"/>
      <c r="T102" s="77"/>
      <c r="U102" s="76"/>
      <c r="V102" s="76"/>
    </row>
    <row r="103" spans="1:22" ht="12.75">
      <c r="A103" s="393"/>
      <c r="B103" s="649"/>
      <c r="C103" s="649" t="s">
        <v>599</v>
      </c>
      <c r="D103" s="649"/>
      <c r="E103" s="650"/>
      <c r="F103" s="650"/>
      <c r="G103" s="650"/>
      <c r="H103" s="368"/>
      <c r="I103" s="642"/>
      <c r="J103" s="401">
        <f t="shared" si="14"/>
        <v>4.32</v>
      </c>
      <c r="K103" s="425">
        <f t="shared" si="12"/>
        <v>0</v>
      </c>
      <c r="L103" s="425">
        <f t="shared" si="15"/>
        <v>0</v>
      </c>
      <c r="M103" s="425">
        <f t="shared" si="16"/>
        <v>3.55</v>
      </c>
      <c r="N103" s="408">
        <f t="shared" si="13"/>
        <v>0</v>
      </c>
      <c r="O103" s="433"/>
      <c r="P103" s="80"/>
      <c r="Q103" s="76"/>
      <c r="R103" s="114"/>
      <c r="S103" s="116"/>
      <c r="T103" s="77"/>
      <c r="U103" s="76"/>
      <c r="V103" s="76"/>
    </row>
    <row r="104" spans="1:22" ht="13.5" thickBot="1">
      <c r="A104" s="393"/>
      <c r="B104" s="649"/>
      <c r="C104" s="649" t="s">
        <v>600</v>
      </c>
      <c r="D104" s="649"/>
      <c r="E104" s="650"/>
      <c r="F104" s="650"/>
      <c r="G104" s="650"/>
      <c r="H104" s="368"/>
      <c r="I104" s="643"/>
      <c r="J104" s="401">
        <f t="shared" si="14"/>
        <v>4.32</v>
      </c>
      <c r="K104" s="425">
        <f t="shared" si="12"/>
        <v>0</v>
      </c>
      <c r="L104" s="425">
        <f t="shared" si="15"/>
        <v>0</v>
      </c>
      <c r="M104" s="425">
        <f t="shared" si="16"/>
        <v>3.55</v>
      </c>
      <c r="N104" s="408">
        <f t="shared" si="13"/>
        <v>0</v>
      </c>
      <c r="O104" s="433"/>
      <c r="P104" s="80"/>
      <c r="Q104" s="76"/>
      <c r="R104" s="114"/>
      <c r="S104" s="116"/>
      <c r="T104" s="77"/>
      <c r="U104" s="76"/>
      <c r="V104" s="76"/>
    </row>
    <row r="105" spans="1:22" ht="12.75">
      <c r="A105" s="393"/>
      <c r="B105" s="432"/>
      <c r="C105" s="390"/>
      <c r="D105" s="432"/>
      <c r="E105" s="368"/>
      <c r="F105" s="368"/>
      <c r="G105" s="368"/>
      <c r="H105" s="368"/>
      <c r="I105" s="401"/>
      <c r="J105" s="401"/>
      <c r="K105" s="425"/>
      <c r="L105" s="425"/>
      <c r="M105" s="425"/>
      <c r="N105" s="408"/>
      <c r="O105" s="433"/>
      <c r="P105" s="80"/>
      <c r="Q105" s="76"/>
      <c r="R105" s="114"/>
      <c r="S105" s="116"/>
      <c r="T105" s="77"/>
      <c r="U105" s="76"/>
      <c r="V105" s="76"/>
    </row>
    <row r="106" spans="1:22" ht="15.75">
      <c r="A106" s="652">
        <v>2</v>
      </c>
      <c r="B106" s="653" t="s">
        <v>609</v>
      </c>
      <c r="C106" s="654"/>
      <c r="D106" s="663"/>
      <c r="E106" s="655"/>
      <c r="F106" s="655"/>
      <c r="G106" s="655"/>
      <c r="H106" s="368"/>
      <c r="I106" s="401"/>
      <c r="J106" s="401"/>
      <c r="K106" s="425"/>
      <c r="L106" s="425"/>
      <c r="M106" s="425"/>
      <c r="N106" s="408"/>
      <c r="O106" s="430"/>
      <c r="P106" s="120"/>
      <c r="Q106" s="127"/>
      <c r="R106" s="114"/>
      <c r="S106" s="116"/>
      <c r="T106" s="77"/>
      <c r="U106" s="76"/>
      <c r="V106" s="76"/>
    </row>
    <row r="107" spans="1:22" ht="12.75">
      <c r="A107" s="111"/>
      <c r="B107" s="662"/>
      <c r="C107" s="649" t="s">
        <v>610</v>
      </c>
      <c r="D107" s="662"/>
      <c r="E107" s="650"/>
      <c r="F107" s="650"/>
      <c r="G107" s="650"/>
      <c r="H107" s="368"/>
      <c r="I107" s="661">
        <f>'A.RAPIDO'!E21</f>
        <v>0</v>
      </c>
      <c r="J107" s="401">
        <f>$C$8</f>
        <v>5</v>
      </c>
      <c r="K107" s="425">
        <f>J107*(I107)</f>
        <v>0</v>
      </c>
      <c r="L107" s="425">
        <f t="shared" si="15"/>
        <v>0</v>
      </c>
      <c r="M107" s="425">
        <f>$I$9</f>
        <v>5</v>
      </c>
      <c r="N107" s="408">
        <f t="shared" si="13"/>
        <v>0</v>
      </c>
      <c r="O107" s="430"/>
      <c r="P107" s="120"/>
      <c r="Q107" s="127"/>
      <c r="R107" s="114"/>
      <c r="S107" s="116"/>
      <c r="T107" s="77"/>
      <c r="U107" s="76"/>
      <c r="V107" s="76"/>
    </row>
    <row r="108" spans="1:22" ht="12.75">
      <c r="A108" s="111"/>
      <c r="B108" s="662"/>
      <c r="C108" s="649" t="s">
        <v>611</v>
      </c>
      <c r="D108" s="662"/>
      <c r="E108" s="650"/>
      <c r="F108" s="650"/>
      <c r="G108" s="650"/>
      <c r="H108" s="368"/>
      <c r="I108" s="661">
        <f>'A.RAPIDO'!E22</f>
        <v>0</v>
      </c>
      <c r="J108" s="401">
        <f>$C$8</f>
        <v>5</v>
      </c>
      <c r="K108" s="425">
        <f>J108*(I108)</f>
        <v>0</v>
      </c>
      <c r="L108" s="425">
        <f t="shared" si="15"/>
        <v>0</v>
      </c>
      <c r="M108" s="425">
        <f>$I$9</f>
        <v>5</v>
      </c>
      <c r="N108" s="408">
        <f t="shared" si="13"/>
        <v>0</v>
      </c>
      <c r="O108" s="430"/>
      <c r="P108" s="120"/>
      <c r="Q108" s="127"/>
      <c r="R108" s="114"/>
      <c r="S108" s="116"/>
      <c r="T108" s="77"/>
      <c r="U108" s="76"/>
      <c r="V108" s="76"/>
    </row>
    <row r="109" spans="1:22" ht="12.75">
      <c r="A109" s="368"/>
      <c r="B109" s="649"/>
      <c r="C109" s="649" t="s">
        <v>255</v>
      </c>
      <c r="D109" s="649"/>
      <c r="E109" s="650"/>
      <c r="F109" s="650"/>
      <c r="G109" s="650"/>
      <c r="H109" s="368"/>
      <c r="I109" s="661">
        <f>'A.RAPIDO'!E23</f>
        <v>0</v>
      </c>
      <c r="J109" s="401">
        <f>$C$8</f>
        <v>5</v>
      </c>
      <c r="K109" s="425">
        <f>J109*(I109)</f>
        <v>0</v>
      </c>
      <c r="L109" s="425"/>
      <c r="M109" s="425"/>
      <c r="N109" s="408"/>
      <c r="O109" s="430"/>
      <c r="P109" s="120"/>
      <c r="Q109" s="76"/>
      <c r="R109" s="77"/>
      <c r="S109" s="77"/>
      <c r="T109" s="77"/>
      <c r="U109" s="76"/>
      <c r="V109" s="76"/>
    </row>
    <row r="110" spans="1:22" ht="12.75">
      <c r="A110" s="368"/>
      <c r="B110" s="390"/>
      <c r="C110" s="390"/>
      <c r="D110" s="390"/>
      <c r="E110" s="368"/>
      <c r="F110" s="368"/>
      <c r="G110" s="368"/>
      <c r="H110" s="368"/>
      <c r="I110" s="401"/>
      <c r="J110" s="401"/>
      <c r="K110" s="425"/>
      <c r="L110" s="425"/>
      <c r="M110" s="425"/>
      <c r="N110" s="408"/>
      <c r="O110" s="430"/>
      <c r="P110" s="120"/>
      <c r="Q110" s="76"/>
      <c r="R110" s="77"/>
      <c r="S110" s="77"/>
      <c r="T110" s="77"/>
      <c r="U110" s="76"/>
      <c r="V110" s="76"/>
    </row>
    <row r="111" spans="1:22" ht="15.75">
      <c r="A111" s="652">
        <v>3</v>
      </c>
      <c r="B111" s="653" t="s">
        <v>445</v>
      </c>
      <c r="C111" s="654"/>
      <c r="D111" s="663"/>
      <c r="E111" s="655"/>
      <c r="F111" s="655"/>
      <c r="G111" s="655"/>
      <c r="H111" s="368"/>
      <c r="I111" s="632">
        <f>'A.RAPIDO'!E29</f>
        <v>0</v>
      </c>
      <c r="J111" s="401">
        <f>$C$8</f>
        <v>5</v>
      </c>
      <c r="K111" s="425">
        <f>J111*(I111)</f>
        <v>0</v>
      </c>
      <c r="L111" s="425"/>
      <c r="M111" s="425"/>
      <c r="N111" s="408"/>
      <c r="O111" s="430"/>
      <c r="P111" s="120"/>
      <c r="Q111" s="76"/>
      <c r="R111" s="77"/>
      <c r="S111" s="77"/>
      <c r="T111" s="77"/>
      <c r="U111" s="76"/>
      <c r="V111" s="76"/>
    </row>
    <row r="112" spans="1:23" ht="13.5" thickBot="1">
      <c r="A112" s="368"/>
      <c r="B112" s="390"/>
      <c r="C112" s="390"/>
      <c r="D112" s="390"/>
      <c r="E112" s="368"/>
      <c r="F112" s="368"/>
      <c r="G112" s="368"/>
      <c r="H112" s="368"/>
      <c r="I112" s="425"/>
      <c r="J112" s="425"/>
      <c r="K112" s="425"/>
      <c r="L112" s="425"/>
      <c r="M112" s="425"/>
      <c r="N112" s="408"/>
      <c r="O112" s="430"/>
      <c r="P112" s="120"/>
      <c r="Q112" s="76"/>
      <c r="R112" s="78"/>
      <c r="S112" s="78"/>
      <c r="T112" s="78"/>
      <c r="U112" s="78"/>
      <c r="V112" s="78"/>
      <c r="W112" s="47"/>
    </row>
    <row r="113" spans="1:25" ht="13.5" thickBot="1">
      <c r="A113" s="665"/>
      <c r="B113" s="666" t="s">
        <v>16</v>
      </c>
      <c r="C113" s="667"/>
      <c r="D113" s="667"/>
      <c r="E113" s="667"/>
      <c r="F113" s="667"/>
      <c r="G113" s="667"/>
      <c r="H113" s="428"/>
      <c r="I113" s="381">
        <f>SUM(I114:I131)</f>
        <v>0</v>
      </c>
      <c r="J113" s="381"/>
      <c r="K113" s="381">
        <f>SUM(K114:K131)</f>
        <v>0</v>
      </c>
      <c r="L113" s="381">
        <f>SUM(L114:L131)</f>
        <v>0</v>
      </c>
      <c r="M113" s="381"/>
      <c r="N113" s="381">
        <f>SUM(N114:N131)</f>
        <v>0</v>
      </c>
      <c r="O113" s="433"/>
      <c r="P113" s="80"/>
      <c r="Q113" s="76"/>
      <c r="R113" s="78"/>
      <c r="S113" s="78"/>
      <c r="T113" s="78"/>
      <c r="U113" s="78"/>
      <c r="V113" s="78"/>
      <c r="W113" s="17"/>
      <c r="X113" s="16"/>
      <c r="Y113" s="16"/>
    </row>
    <row r="114" spans="1:25" ht="15.75">
      <c r="A114" s="664">
        <v>1</v>
      </c>
      <c r="B114" s="653" t="s">
        <v>612</v>
      </c>
      <c r="C114" s="654"/>
      <c r="D114" s="654"/>
      <c r="E114" s="655"/>
      <c r="F114" s="655"/>
      <c r="G114" s="655"/>
      <c r="H114" s="368"/>
      <c r="I114" s="401"/>
      <c r="J114" s="401"/>
      <c r="K114" s="425"/>
      <c r="L114" s="425"/>
      <c r="M114" s="425"/>
      <c r="N114" s="408"/>
      <c r="O114" s="430"/>
      <c r="P114" s="120"/>
      <c r="Q114" s="76"/>
      <c r="R114" s="121"/>
      <c r="S114" s="121"/>
      <c r="T114" s="121"/>
      <c r="U114" s="121"/>
      <c r="V114" s="121"/>
      <c r="W114" s="48"/>
      <c r="X114" s="16"/>
      <c r="Y114" s="16"/>
    </row>
    <row r="115" spans="1:25" ht="12.75">
      <c r="A115" s="393"/>
      <c r="B115" s="660" t="s">
        <v>598</v>
      </c>
      <c r="C115" s="649"/>
      <c r="D115" s="649"/>
      <c r="E115" s="650"/>
      <c r="F115" s="650"/>
      <c r="G115" s="650"/>
      <c r="H115" s="368"/>
      <c r="I115" s="401"/>
      <c r="J115" s="401"/>
      <c r="K115" s="425"/>
      <c r="L115" s="425"/>
      <c r="M115" s="425"/>
      <c r="N115" s="408"/>
      <c r="O115" s="430"/>
      <c r="P115" s="120"/>
      <c r="Q115" s="76"/>
      <c r="R115" s="121"/>
      <c r="S115" s="121"/>
      <c r="T115" s="121"/>
      <c r="U115" s="121"/>
      <c r="V115" s="121"/>
      <c r="W115" s="48"/>
      <c r="X115" s="16"/>
      <c r="Y115" s="16"/>
    </row>
    <row r="116" spans="1:25" ht="12.75">
      <c r="A116" s="393"/>
      <c r="B116" s="649"/>
      <c r="C116" s="649" t="s">
        <v>595</v>
      </c>
      <c r="D116" s="649"/>
      <c r="E116" s="650"/>
      <c r="F116" s="650"/>
      <c r="G116" s="650"/>
      <c r="H116" s="368"/>
      <c r="I116" s="661">
        <f>'A.PESADO'!E6-I118-I120-I123-I125-I127</f>
        <v>0</v>
      </c>
      <c r="J116" s="401">
        <f>J92</f>
        <v>3.5</v>
      </c>
      <c r="K116" s="425">
        <f aca="true" t="shared" si="17" ref="K116:K128">J116*(I116)</f>
        <v>0</v>
      </c>
      <c r="L116" s="425">
        <f>I116</f>
        <v>0</v>
      </c>
      <c r="M116" s="425">
        <f>M92</f>
        <v>2.9</v>
      </c>
      <c r="N116" s="408">
        <f aca="true" t="shared" si="18" ref="N116:N128">M116*(L116)</f>
        <v>0</v>
      </c>
      <c r="O116" s="430"/>
      <c r="P116" s="120"/>
      <c r="Q116" s="76"/>
      <c r="R116" s="121"/>
      <c r="S116" s="121"/>
      <c r="T116" s="121"/>
      <c r="U116" s="121"/>
      <c r="V116" s="121"/>
      <c r="W116" s="48"/>
      <c r="X116" s="16"/>
      <c r="Y116" s="16"/>
    </row>
    <row r="117" spans="1:25" ht="13.5" thickBot="1">
      <c r="A117" s="393"/>
      <c r="B117" s="649"/>
      <c r="C117" s="649" t="s">
        <v>596</v>
      </c>
      <c r="D117" s="649"/>
      <c r="E117" s="650"/>
      <c r="F117" s="650"/>
      <c r="G117" s="650"/>
      <c r="H117" s="368"/>
      <c r="I117" s="661">
        <f>'A.PESADO'!E7-'A.PESADO'!E6-I119-I121-I124-I126-I128</f>
        <v>0</v>
      </c>
      <c r="J117" s="401">
        <f aca="true" t="shared" si="19" ref="J117:J128">J93</f>
        <v>2.59</v>
      </c>
      <c r="K117" s="425">
        <f t="shared" si="17"/>
        <v>0</v>
      </c>
      <c r="L117" s="425">
        <f aca="true" t="shared" si="20" ref="L117:L128">I117</f>
        <v>0</v>
      </c>
      <c r="M117" s="425">
        <f aca="true" t="shared" si="21" ref="M117:M128">M93</f>
        <v>2.1</v>
      </c>
      <c r="N117" s="408">
        <f t="shared" si="18"/>
        <v>0</v>
      </c>
      <c r="O117" s="430"/>
      <c r="P117" s="120"/>
      <c r="Q117" s="76"/>
      <c r="R117" s="121"/>
      <c r="S117" s="121"/>
      <c r="T117" s="121"/>
      <c r="U117" s="121"/>
      <c r="V117" s="121"/>
      <c r="W117" s="48"/>
      <c r="X117" s="16"/>
      <c r="Y117" s="16"/>
    </row>
    <row r="118" spans="1:25" ht="12.75">
      <c r="A118" s="393"/>
      <c r="B118" s="649"/>
      <c r="C118" s="649" t="s">
        <v>602</v>
      </c>
      <c r="D118" s="649"/>
      <c r="E118" s="650"/>
      <c r="F118" s="650"/>
      <c r="G118" s="650"/>
      <c r="H118" s="368"/>
      <c r="I118" s="644"/>
      <c r="J118" s="401">
        <f t="shared" si="19"/>
        <v>5</v>
      </c>
      <c r="K118" s="425">
        <f t="shared" si="17"/>
        <v>0</v>
      </c>
      <c r="L118" s="425">
        <f t="shared" si="20"/>
        <v>0</v>
      </c>
      <c r="M118" s="425">
        <f t="shared" si="21"/>
        <v>5</v>
      </c>
      <c r="N118" s="408">
        <f t="shared" si="18"/>
        <v>0</v>
      </c>
      <c r="O118" s="430"/>
      <c r="P118" s="120"/>
      <c r="Q118" s="76"/>
      <c r="R118" s="121"/>
      <c r="S118" s="121"/>
      <c r="T118" s="121"/>
      <c r="U118" s="121"/>
      <c r="V118" s="121"/>
      <c r="W118" s="48"/>
      <c r="X118" s="16"/>
      <c r="Y118" s="16"/>
    </row>
    <row r="119" spans="1:25" ht="12.75">
      <c r="A119" s="393"/>
      <c r="B119" s="649"/>
      <c r="C119" s="649" t="s">
        <v>603</v>
      </c>
      <c r="D119" s="649"/>
      <c r="E119" s="650"/>
      <c r="F119" s="650"/>
      <c r="G119" s="650"/>
      <c r="H119" s="368"/>
      <c r="I119" s="642"/>
      <c r="J119" s="401">
        <f t="shared" si="19"/>
        <v>5</v>
      </c>
      <c r="K119" s="425">
        <f t="shared" si="17"/>
        <v>0</v>
      </c>
      <c r="L119" s="425">
        <f t="shared" si="20"/>
        <v>0</v>
      </c>
      <c r="M119" s="425">
        <f t="shared" si="21"/>
        <v>5</v>
      </c>
      <c r="N119" s="408">
        <f t="shared" si="18"/>
        <v>0</v>
      </c>
      <c r="O119" s="430"/>
      <c r="P119" s="120"/>
      <c r="Q119" s="76"/>
      <c r="R119" s="121"/>
      <c r="S119" s="121"/>
      <c r="T119" s="121"/>
      <c r="U119" s="121"/>
      <c r="V119" s="121"/>
      <c r="W119" s="48"/>
      <c r="X119" s="16"/>
      <c r="Y119" s="16"/>
    </row>
    <row r="120" spans="1:25" ht="12.75">
      <c r="A120" s="393"/>
      <c r="B120" s="649"/>
      <c r="C120" s="649" t="s">
        <v>599</v>
      </c>
      <c r="D120" s="649"/>
      <c r="E120" s="650"/>
      <c r="F120" s="650"/>
      <c r="G120" s="650"/>
      <c r="H120" s="368"/>
      <c r="I120" s="642"/>
      <c r="J120" s="401">
        <f t="shared" si="19"/>
        <v>3.5</v>
      </c>
      <c r="K120" s="425">
        <f t="shared" si="17"/>
        <v>0</v>
      </c>
      <c r="L120" s="425">
        <f t="shared" si="20"/>
        <v>0</v>
      </c>
      <c r="M120" s="425">
        <f t="shared" si="21"/>
        <v>2.9</v>
      </c>
      <c r="N120" s="408">
        <f t="shared" si="18"/>
        <v>0</v>
      </c>
      <c r="O120" s="430"/>
      <c r="P120" s="120"/>
      <c r="Q120" s="76"/>
      <c r="R120" s="121"/>
      <c r="S120" s="121"/>
      <c r="T120" s="121"/>
      <c r="U120" s="121"/>
      <c r="V120" s="121"/>
      <c r="W120" s="48"/>
      <c r="X120" s="16"/>
      <c r="Y120" s="16"/>
    </row>
    <row r="121" spans="1:25" ht="13.5" thickBot="1">
      <c r="A121" s="393"/>
      <c r="B121" s="649"/>
      <c r="C121" s="649" t="s">
        <v>600</v>
      </c>
      <c r="D121" s="649"/>
      <c r="E121" s="650"/>
      <c r="F121" s="650"/>
      <c r="G121" s="650"/>
      <c r="H121" s="368"/>
      <c r="I121" s="643"/>
      <c r="J121" s="401">
        <f t="shared" si="19"/>
        <v>3.5</v>
      </c>
      <c r="K121" s="425">
        <f t="shared" si="17"/>
        <v>0</v>
      </c>
      <c r="L121" s="425">
        <f t="shared" si="20"/>
        <v>0</v>
      </c>
      <c r="M121" s="425">
        <f t="shared" si="21"/>
        <v>2.9</v>
      </c>
      <c r="N121" s="408">
        <f t="shared" si="18"/>
        <v>0</v>
      </c>
      <c r="O121" s="430"/>
      <c r="P121" s="120"/>
      <c r="Q121" s="76"/>
      <c r="R121" s="121"/>
      <c r="S121" s="121"/>
      <c r="T121" s="121"/>
      <c r="U121" s="121"/>
      <c r="V121" s="121"/>
      <c r="W121" s="48"/>
      <c r="X121" s="16"/>
      <c r="Y121" s="16"/>
    </row>
    <row r="122" spans="1:25" ht="13.5" thickBot="1">
      <c r="A122" s="393"/>
      <c r="B122" s="660" t="s">
        <v>597</v>
      </c>
      <c r="C122" s="649"/>
      <c r="D122" s="649"/>
      <c r="E122" s="650"/>
      <c r="F122" s="650"/>
      <c r="G122" s="650"/>
      <c r="H122" s="368"/>
      <c r="I122" s="401"/>
      <c r="J122" s="401"/>
      <c r="K122" s="425">
        <f t="shared" si="17"/>
        <v>0</v>
      </c>
      <c r="L122" s="425">
        <f t="shared" si="20"/>
        <v>0</v>
      </c>
      <c r="M122" s="425"/>
      <c r="N122" s="408"/>
      <c r="O122" s="430"/>
      <c r="P122" s="120"/>
      <c r="Q122" s="76"/>
      <c r="R122" s="121"/>
      <c r="S122" s="121"/>
      <c r="T122" s="121"/>
      <c r="U122" s="121"/>
      <c r="V122" s="121"/>
      <c r="W122" s="48"/>
      <c r="X122" s="16"/>
      <c r="Y122" s="16"/>
    </row>
    <row r="123" spans="1:25" ht="12.75">
      <c r="A123" s="393"/>
      <c r="B123" s="649"/>
      <c r="C123" s="649" t="s">
        <v>595</v>
      </c>
      <c r="D123" s="649"/>
      <c r="E123" s="650"/>
      <c r="F123" s="650"/>
      <c r="G123" s="650"/>
      <c r="H123" s="368"/>
      <c r="I123" s="644"/>
      <c r="J123" s="401">
        <f t="shared" si="19"/>
        <v>4.32</v>
      </c>
      <c r="K123" s="425">
        <f t="shared" si="17"/>
        <v>0</v>
      </c>
      <c r="L123" s="425">
        <f t="shared" si="20"/>
        <v>0</v>
      </c>
      <c r="M123" s="425">
        <f t="shared" si="21"/>
        <v>3.55</v>
      </c>
      <c r="N123" s="408">
        <f t="shared" si="18"/>
        <v>0</v>
      </c>
      <c r="O123" s="430"/>
      <c r="P123" s="120"/>
      <c r="Q123" s="76"/>
      <c r="R123" s="121"/>
      <c r="S123" s="121"/>
      <c r="T123" s="121"/>
      <c r="U123" s="121"/>
      <c r="V123" s="121"/>
      <c r="W123" s="48"/>
      <c r="X123" s="16"/>
      <c r="Y123" s="16"/>
    </row>
    <row r="124" spans="1:25" ht="12.75">
      <c r="A124" s="393"/>
      <c r="B124" s="649"/>
      <c r="C124" s="649" t="s">
        <v>596</v>
      </c>
      <c r="D124" s="649"/>
      <c r="E124" s="650"/>
      <c r="F124" s="650"/>
      <c r="G124" s="650"/>
      <c r="H124" s="368"/>
      <c r="I124" s="642"/>
      <c r="J124" s="401">
        <f t="shared" si="19"/>
        <v>4.32</v>
      </c>
      <c r="K124" s="425">
        <f t="shared" si="17"/>
        <v>0</v>
      </c>
      <c r="L124" s="425">
        <f t="shared" si="20"/>
        <v>0</v>
      </c>
      <c r="M124" s="425">
        <f t="shared" si="21"/>
        <v>3.55</v>
      </c>
      <c r="N124" s="408">
        <f t="shared" si="18"/>
        <v>0</v>
      </c>
      <c r="O124" s="430"/>
      <c r="P124" s="120"/>
      <c r="Q124" s="76"/>
      <c r="R124" s="121"/>
      <c r="S124" s="121"/>
      <c r="T124" s="121"/>
      <c r="U124" s="121"/>
      <c r="V124" s="121"/>
      <c r="W124" s="48"/>
      <c r="X124" s="16"/>
      <c r="Y124" s="16"/>
    </row>
    <row r="125" spans="1:25" ht="12.75">
      <c r="A125" s="393"/>
      <c r="B125" s="649"/>
      <c r="C125" s="649" t="s">
        <v>602</v>
      </c>
      <c r="D125" s="649"/>
      <c r="E125" s="650"/>
      <c r="F125" s="650"/>
      <c r="G125" s="650"/>
      <c r="H125" s="368"/>
      <c r="I125" s="642"/>
      <c r="J125" s="401">
        <f t="shared" si="19"/>
        <v>5</v>
      </c>
      <c r="K125" s="425">
        <f t="shared" si="17"/>
        <v>0</v>
      </c>
      <c r="L125" s="425">
        <f t="shared" si="20"/>
        <v>0</v>
      </c>
      <c r="M125" s="425">
        <f t="shared" si="21"/>
        <v>5</v>
      </c>
      <c r="N125" s="408">
        <f t="shared" si="18"/>
        <v>0</v>
      </c>
      <c r="O125" s="430"/>
      <c r="P125" s="120"/>
      <c r="Q125" s="76"/>
      <c r="R125" s="121"/>
      <c r="S125" s="121"/>
      <c r="T125" s="121"/>
      <c r="U125" s="121"/>
      <c r="V125" s="121"/>
      <c r="W125" s="48"/>
      <c r="X125" s="16"/>
      <c r="Y125" s="16"/>
    </row>
    <row r="126" spans="1:25" ht="12.75">
      <c r="A126" s="393"/>
      <c r="B126" s="649"/>
      <c r="C126" s="649" t="s">
        <v>603</v>
      </c>
      <c r="D126" s="649"/>
      <c r="E126" s="650"/>
      <c r="F126" s="650"/>
      <c r="G126" s="650"/>
      <c r="H126" s="368"/>
      <c r="I126" s="642"/>
      <c r="J126" s="401">
        <f t="shared" si="19"/>
        <v>5</v>
      </c>
      <c r="K126" s="425">
        <f t="shared" si="17"/>
        <v>0</v>
      </c>
      <c r="L126" s="425">
        <f t="shared" si="20"/>
        <v>0</v>
      </c>
      <c r="M126" s="425">
        <f t="shared" si="21"/>
        <v>5</v>
      </c>
      <c r="N126" s="408">
        <f t="shared" si="18"/>
        <v>0</v>
      </c>
      <c r="O126" s="430"/>
      <c r="P126" s="120"/>
      <c r="Q126" s="76"/>
      <c r="R126" s="121"/>
      <c r="S126" s="121"/>
      <c r="T126" s="121"/>
      <c r="U126" s="121"/>
      <c r="V126" s="121"/>
      <c r="W126" s="48"/>
      <c r="X126" s="16"/>
      <c r="Y126" s="16"/>
    </row>
    <row r="127" spans="1:25" ht="12.75">
      <c r="A127" s="393"/>
      <c r="B127" s="649"/>
      <c r="C127" s="649" t="s">
        <v>599</v>
      </c>
      <c r="D127" s="649"/>
      <c r="E127" s="650"/>
      <c r="F127" s="650"/>
      <c r="G127" s="650"/>
      <c r="H127" s="368"/>
      <c r="I127" s="642"/>
      <c r="J127" s="401">
        <f t="shared" si="19"/>
        <v>4.32</v>
      </c>
      <c r="K127" s="425">
        <f t="shared" si="17"/>
        <v>0</v>
      </c>
      <c r="L127" s="425">
        <f t="shared" si="20"/>
        <v>0</v>
      </c>
      <c r="M127" s="425">
        <f t="shared" si="21"/>
        <v>3.55</v>
      </c>
      <c r="N127" s="408">
        <f t="shared" si="18"/>
        <v>0</v>
      </c>
      <c r="O127" s="430"/>
      <c r="P127" s="120"/>
      <c r="Q127" s="76"/>
      <c r="R127" s="121"/>
      <c r="S127" s="121"/>
      <c r="T127" s="121"/>
      <c r="U127" s="121"/>
      <c r="V127" s="121"/>
      <c r="W127" s="48"/>
      <c r="X127" s="16"/>
      <c r="Y127" s="16"/>
    </row>
    <row r="128" spans="1:25" ht="13.5" thickBot="1">
      <c r="A128" s="393"/>
      <c r="B128" s="649"/>
      <c r="C128" s="649" t="s">
        <v>600</v>
      </c>
      <c r="D128" s="649"/>
      <c r="E128" s="650"/>
      <c r="F128" s="650"/>
      <c r="G128" s="650"/>
      <c r="H128" s="368"/>
      <c r="I128" s="643"/>
      <c r="J128" s="401">
        <f t="shared" si="19"/>
        <v>4.32</v>
      </c>
      <c r="K128" s="425">
        <f t="shared" si="17"/>
        <v>0</v>
      </c>
      <c r="L128" s="425">
        <f t="shared" si="20"/>
        <v>0</v>
      </c>
      <c r="M128" s="425">
        <f t="shared" si="21"/>
        <v>3.55</v>
      </c>
      <c r="N128" s="408">
        <f t="shared" si="18"/>
        <v>0</v>
      </c>
      <c r="O128" s="430"/>
      <c r="P128" s="120"/>
      <c r="Q128" s="76"/>
      <c r="R128" s="121"/>
      <c r="S128" s="121"/>
      <c r="T128" s="121"/>
      <c r="U128" s="121"/>
      <c r="V128" s="121"/>
      <c r="W128" s="48"/>
      <c r="X128" s="16"/>
      <c r="Y128" s="16"/>
    </row>
    <row r="129" spans="1:25" ht="12.75">
      <c r="A129" s="368"/>
      <c r="B129" s="390"/>
      <c r="C129" s="390"/>
      <c r="D129" s="390"/>
      <c r="E129" s="368"/>
      <c r="F129" s="368"/>
      <c r="G129" s="368"/>
      <c r="H129" s="368"/>
      <c r="I129" s="401"/>
      <c r="J129" s="401"/>
      <c r="K129" s="425"/>
      <c r="L129" s="425"/>
      <c r="M129" s="425"/>
      <c r="N129" s="408"/>
      <c r="O129" s="430"/>
      <c r="P129" s="120"/>
      <c r="Q129" s="76"/>
      <c r="R129" s="121"/>
      <c r="S129" s="121"/>
      <c r="T129" s="121"/>
      <c r="U129" s="121"/>
      <c r="V129" s="121"/>
      <c r="W129" s="48"/>
      <c r="X129" s="16"/>
      <c r="Y129" s="16"/>
    </row>
    <row r="130" spans="1:25" ht="15.75">
      <c r="A130" s="652">
        <v>2</v>
      </c>
      <c r="B130" s="653" t="s">
        <v>613</v>
      </c>
      <c r="C130" s="654"/>
      <c r="D130" s="654"/>
      <c r="E130" s="655"/>
      <c r="F130" s="655"/>
      <c r="G130" s="655"/>
      <c r="H130" s="368"/>
      <c r="I130" s="632">
        <f>'A.PESADO'!H18+'A.PESADO'!H23+'A.PESADO'!H28+'A.PESADO'!H29+'A.PESADO'!H30+'A.PESADO'!H31+'A.PESADO'!H32+'A.PESADO'!H33+'A.PESADO'!H38+'A.PESADO'!H43</f>
        <v>0</v>
      </c>
      <c r="J130" s="425">
        <f>$C$8</f>
        <v>5</v>
      </c>
      <c r="K130" s="425">
        <f>J130*(I130)</f>
        <v>0</v>
      </c>
      <c r="L130" s="425"/>
      <c r="M130" s="425"/>
      <c r="N130" s="408"/>
      <c r="O130" s="430"/>
      <c r="P130" s="120"/>
      <c r="Q130" s="76"/>
      <c r="R130" s="121"/>
      <c r="S130" s="121"/>
      <c r="T130" s="121"/>
      <c r="U130" s="121"/>
      <c r="V130" s="121"/>
      <c r="W130" s="48"/>
      <c r="X130" s="16"/>
      <c r="Y130" s="16"/>
    </row>
    <row r="131" spans="1:25" ht="13.5" thickBot="1">
      <c r="A131" s="393">
        <v>3</v>
      </c>
      <c r="B131" s="390"/>
      <c r="C131" s="390"/>
      <c r="D131" s="390"/>
      <c r="E131" s="368"/>
      <c r="F131" s="368"/>
      <c r="G131" s="368"/>
      <c r="H131" s="368"/>
      <c r="I131" s="425"/>
      <c r="J131" s="425"/>
      <c r="K131" s="425"/>
      <c r="L131" s="425"/>
      <c r="M131" s="425"/>
      <c r="N131" s="408"/>
      <c r="O131" s="430"/>
      <c r="P131" s="120"/>
      <c r="Q131" s="76"/>
      <c r="R131" s="121"/>
      <c r="S131" s="121"/>
      <c r="T131" s="121"/>
      <c r="U131" s="121"/>
      <c r="V131" s="121"/>
      <c r="W131" s="48"/>
      <c r="X131" s="16"/>
      <c r="Y131" s="16"/>
    </row>
    <row r="132" spans="1:25" ht="13.5" thickBot="1">
      <c r="A132" s="389"/>
      <c r="B132" s="388" t="s">
        <v>18</v>
      </c>
      <c r="C132" s="398"/>
      <c r="D132" s="398"/>
      <c r="E132" s="398"/>
      <c r="F132" s="398"/>
      <c r="G132" s="398"/>
      <c r="H132" s="428"/>
      <c r="I132" s="381">
        <f>SUM(I133:I138)</f>
        <v>0</v>
      </c>
      <c r="J132" s="381"/>
      <c r="K132" s="381">
        <f>SUM(K133:K138)</f>
        <v>0</v>
      </c>
      <c r="L132" s="381">
        <f>SUM(L133:L138)</f>
        <v>0</v>
      </c>
      <c r="M132" s="381"/>
      <c r="N132" s="381">
        <f>SUM(N133:N138)</f>
        <v>0</v>
      </c>
      <c r="O132" s="433"/>
      <c r="P132" s="80"/>
      <c r="Q132" s="76"/>
      <c r="R132" s="121"/>
      <c r="S132" s="121"/>
      <c r="T132" s="121"/>
      <c r="U132" s="121"/>
      <c r="V132" s="121"/>
      <c r="W132" s="48"/>
      <c r="X132" s="16"/>
      <c r="Y132" s="16"/>
    </row>
    <row r="133" spans="1:25" ht="12.75">
      <c r="A133" s="393">
        <v>1</v>
      </c>
      <c r="B133" s="111"/>
      <c r="C133" s="390"/>
      <c r="D133" s="390"/>
      <c r="E133" s="368"/>
      <c r="F133" s="368"/>
      <c r="G133" s="368"/>
      <c r="H133" s="415"/>
      <c r="I133" s="425"/>
      <c r="J133" s="425"/>
      <c r="K133" s="425">
        <f aca="true" t="shared" si="22" ref="K133:K139">J133*(I133)</f>
        <v>0</v>
      </c>
      <c r="L133" s="425"/>
      <c r="M133" s="425"/>
      <c r="N133" s="408">
        <f aca="true" t="shared" si="23" ref="N133:N139">M133*(L133)</f>
        <v>0</v>
      </c>
      <c r="O133" s="430"/>
      <c r="P133" s="120"/>
      <c r="Q133" s="76"/>
      <c r="R133" s="122"/>
      <c r="S133" s="121"/>
      <c r="T133" s="121"/>
      <c r="U133" s="121"/>
      <c r="V133" s="121"/>
      <c r="W133" s="48"/>
      <c r="X133" s="16"/>
      <c r="Y133" s="16"/>
    </row>
    <row r="134" spans="1:25" ht="12.75">
      <c r="A134" s="393">
        <v>2</v>
      </c>
      <c r="B134" s="111"/>
      <c r="C134" s="390"/>
      <c r="D134" s="390"/>
      <c r="E134" s="368"/>
      <c r="F134" s="368"/>
      <c r="G134" s="368"/>
      <c r="H134" s="415"/>
      <c r="I134" s="425"/>
      <c r="J134" s="425"/>
      <c r="K134" s="425">
        <f t="shared" si="22"/>
        <v>0</v>
      </c>
      <c r="L134" s="425"/>
      <c r="M134" s="425"/>
      <c r="N134" s="408">
        <f t="shared" si="23"/>
        <v>0</v>
      </c>
      <c r="O134" s="430"/>
      <c r="P134" s="120"/>
      <c r="Q134" s="76"/>
      <c r="R134" s="122"/>
      <c r="S134" s="121"/>
      <c r="T134" s="121"/>
      <c r="U134" s="121"/>
      <c r="V134" s="121"/>
      <c r="W134" s="48"/>
      <c r="X134" s="16"/>
      <c r="Y134" s="16"/>
    </row>
    <row r="135" spans="1:25" ht="12.75">
      <c r="A135" s="393">
        <v>3</v>
      </c>
      <c r="B135" s="111"/>
      <c r="C135" s="390"/>
      <c r="D135" s="390"/>
      <c r="E135" s="368"/>
      <c r="F135" s="368"/>
      <c r="G135" s="368"/>
      <c r="H135" s="368"/>
      <c r="I135" s="425"/>
      <c r="J135" s="425"/>
      <c r="K135" s="425">
        <f t="shared" si="22"/>
        <v>0</v>
      </c>
      <c r="L135" s="425"/>
      <c r="M135" s="425"/>
      <c r="N135" s="408">
        <f t="shared" si="23"/>
        <v>0</v>
      </c>
      <c r="O135" s="430"/>
      <c r="P135" s="120"/>
      <c r="Q135" s="76"/>
      <c r="R135" s="121"/>
      <c r="S135" s="121"/>
      <c r="T135" s="121"/>
      <c r="U135" s="124"/>
      <c r="V135" s="121"/>
      <c r="W135" s="48"/>
      <c r="X135" s="16"/>
      <c r="Y135" s="16"/>
    </row>
    <row r="136" spans="1:25" ht="12.75">
      <c r="A136" s="393">
        <v>4</v>
      </c>
      <c r="B136" s="111"/>
      <c r="C136" s="390"/>
      <c r="D136" s="390"/>
      <c r="E136" s="368"/>
      <c r="F136" s="368"/>
      <c r="G136" s="368"/>
      <c r="H136" s="368"/>
      <c r="I136" s="425"/>
      <c r="J136" s="425"/>
      <c r="K136" s="425">
        <f t="shared" si="22"/>
        <v>0</v>
      </c>
      <c r="L136" s="425"/>
      <c r="M136" s="425"/>
      <c r="N136" s="408">
        <f t="shared" si="23"/>
        <v>0</v>
      </c>
      <c r="O136" s="430"/>
      <c r="P136" s="120"/>
      <c r="Q136" s="76"/>
      <c r="R136" s="121"/>
      <c r="S136" s="121"/>
      <c r="T136" s="121"/>
      <c r="U136" s="124"/>
      <c r="V136" s="121"/>
      <c r="W136" s="48"/>
      <c r="X136" s="16"/>
      <c r="Y136" s="16"/>
    </row>
    <row r="137" spans="1:25" ht="12.75">
      <c r="A137" s="393">
        <v>5</v>
      </c>
      <c r="B137" s="111"/>
      <c r="C137" s="390"/>
      <c r="D137" s="390"/>
      <c r="E137" s="368"/>
      <c r="F137" s="368"/>
      <c r="G137" s="368"/>
      <c r="H137" s="368"/>
      <c r="I137" s="425"/>
      <c r="J137" s="425"/>
      <c r="K137" s="425">
        <f t="shared" si="22"/>
        <v>0</v>
      </c>
      <c r="L137" s="425"/>
      <c r="M137" s="425"/>
      <c r="N137" s="408">
        <f t="shared" si="23"/>
        <v>0</v>
      </c>
      <c r="O137" s="430"/>
      <c r="P137" s="120"/>
      <c r="Q137" s="76"/>
      <c r="R137" s="121"/>
      <c r="S137" s="121"/>
      <c r="T137" s="121"/>
      <c r="U137" s="124"/>
      <c r="V137" s="121"/>
      <c r="W137" s="48"/>
      <c r="X137" s="16"/>
      <c r="Y137" s="16"/>
    </row>
    <row r="138" spans="1:25" ht="12.75">
      <c r="A138" s="393">
        <v>6</v>
      </c>
      <c r="B138" s="111"/>
      <c r="C138" s="390"/>
      <c r="D138" s="390"/>
      <c r="E138" s="368"/>
      <c r="F138" s="368"/>
      <c r="G138" s="368"/>
      <c r="H138" s="368"/>
      <c r="I138" s="425"/>
      <c r="J138" s="425"/>
      <c r="K138" s="425">
        <f t="shared" si="22"/>
        <v>0</v>
      </c>
      <c r="L138" s="425"/>
      <c r="M138" s="425"/>
      <c r="N138" s="408">
        <f t="shared" si="23"/>
        <v>0</v>
      </c>
      <c r="O138" s="433"/>
      <c r="P138" s="123"/>
      <c r="Q138" s="76"/>
      <c r="R138" s="124"/>
      <c r="S138" s="121"/>
      <c r="T138" s="121"/>
      <c r="U138" s="77"/>
      <c r="V138" s="121"/>
      <c r="W138" s="48"/>
      <c r="X138" s="16"/>
      <c r="Y138" s="16"/>
    </row>
    <row r="139" spans="1:25" ht="13.5" thickBot="1">
      <c r="A139" s="394"/>
      <c r="B139" s="111"/>
      <c r="C139" s="390"/>
      <c r="D139" s="390"/>
      <c r="E139" s="368"/>
      <c r="F139" s="368"/>
      <c r="G139" s="368"/>
      <c r="H139" s="368"/>
      <c r="I139" s="425"/>
      <c r="J139" s="425"/>
      <c r="K139" s="425">
        <f t="shared" si="22"/>
        <v>0</v>
      </c>
      <c r="L139" s="425"/>
      <c r="M139" s="425"/>
      <c r="N139" s="408">
        <f t="shared" si="23"/>
        <v>0</v>
      </c>
      <c r="O139" s="430"/>
      <c r="P139" s="120"/>
      <c r="Q139" s="76"/>
      <c r="R139" s="121"/>
      <c r="S139" s="121"/>
      <c r="T139" s="121"/>
      <c r="U139" s="124"/>
      <c r="V139" s="121"/>
      <c r="W139" s="48"/>
      <c r="X139" s="16"/>
      <c r="Y139" s="16"/>
    </row>
    <row r="140" spans="1:25" ht="13.5" thickBot="1">
      <c r="A140" s="389"/>
      <c r="B140" s="388" t="s">
        <v>1</v>
      </c>
      <c r="C140" s="398"/>
      <c r="D140" s="398"/>
      <c r="E140" s="398"/>
      <c r="F140" s="398"/>
      <c r="G140" s="398"/>
      <c r="H140" s="428"/>
      <c r="I140" s="381">
        <f>I25+I36+I56+I88+I113+I132</f>
        <v>0</v>
      </c>
      <c r="J140" s="381"/>
      <c r="K140" s="434">
        <f>K25+K36+K56+K88+K113+K132</f>
        <v>0</v>
      </c>
      <c r="L140" s="381">
        <f>L25+L36+L56+L88+L113+L132</f>
        <v>1</v>
      </c>
      <c r="M140" s="381"/>
      <c r="N140" s="434">
        <f>N25+N36+N56+N88+N113+N132</f>
        <v>5</v>
      </c>
      <c r="O140" s="430"/>
      <c r="P140" s="120"/>
      <c r="Q140" s="76"/>
      <c r="R140" s="121"/>
      <c r="S140" s="121"/>
      <c r="T140" s="121"/>
      <c r="U140" s="124"/>
      <c r="V140" s="121"/>
      <c r="W140" s="48"/>
      <c r="X140" s="16"/>
      <c r="Y140" s="16"/>
    </row>
    <row r="141" spans="1:25" ht="13.5" thickBot="1">
      <c r="A141" s="368"/>
      <c r="B141" s="368"/>
      <c r="C141" s="368"/>
      <c r="D141" s="368"/>
      <c r="E141" s="368"/>
      <c r="F141" s="368"/>
      <c r="G141" s="368"/>
      <c r="H141" s="368"/>
      <c r="I141" s="368"/>
      <c r="J141" s="435" t="s">
        <v>178</v>
      </c>
      <c r="K141" s="436" t="e">
        <f>K140/I140</f>
        <v>#DIV/0!</v>
      </c>
      <c r="L141" s="368"/>
      <c r="M141" s="435" t="s">
        <v>178</v>
      </c>
      <c r="N141" s="436">
        <f>N140/L140</f>
        <v>5</v>
      </c>
      <c r="O141" s="430"/>
      <c r="P141" s="636"/>
      <c r="R141" s="48"/>
      <c r="S141" s="48"/>
      <c r="T141" s="48"/>
      <c r="U141" s="50"/>
      <c r="V141" s="48"/>
      <c r="W141" s="48"/>
      <c r="X141" s="16"/>
      <c r="Y141" s="16"/>
    </row>
    <row r="142" spans="1:25" ht="12.75">
      <c r="A142" s="368"/>
      <c r="B142" s="368"/>
      <c r="C142" s="368"/>
      <c r="D142" s="368"/>
      <c r="E142" s="368"/>
      <c r="F142" s="368"/>
      <c r="G142" s="368"/>
      <c r="H142" s="368"/>
      <c r="I142" s="368"/>
      <c r="J142" s="368"/>
      <c r="K142" s="368"/>
      <c r="L142" s="368"/>
      <c r="M142" s="368"/>
      <c r="N142" s="390"/>
      <c r="O142" s="430"/>
      <c r="P142" s="636"/>
      <c r="R142" s="48"/>
      <c r="S142" s="48"/>
      <c r="T142" s="48"/>
      <c r="U142" s="50"/>
      <c r="V142" s="48"/>
      <c r="W142" s="48"/>
      <c r="X142" s="16"/>
      <c r="Y142" s="16"/>
    </row>
    <row r="143" spans="1:25" ht="12.75">
      <c r="A143" s="368"/>
      <c r="B143" s="368"/>
      <c r="C143" s="368"/>
      <c r="D143" s="368"/>
      <c r="E143" s="368"/>
      <c r="F143" s="368"/>
      <c r="G143" s="368"/>
      <c r="H143" s="368"/>
      <c r="I143" s="368"/>
      <c r="J143" s="368"/>
      <c r="K143" s="368"/>
      <c r="L143" s="368"/>
      <c r="M143" s="368"/>
      <c r="N143" s="390"/>
      <c r="O143" s="430"/>
      <c r="P143" s="636"/>
      <c r="R143" s="48"/>
      <c r="S143" s="48"/>
      <c r="T143" s="48"/>
      <c r="U143" s="50"/>
      <c r="V143" s="48"/>
      <c r="W143" s="48"/>
      <c r="X143" s="16"/>
      <c r="Y143" s="16"/>
    </row>
    <row r="144" spans="1:25" ht="12.75">
      <c r="A144" s="368"/>
      <c r="B144" s="368"/>
      <c r="C144" s="368"/>
      <c r="D144" s="368"/>
      <c r="E144" s="368"/>
      <c r="F144" s="368"/>
      <c r="G144" s="368"/>
      <c r="H144" s="368"/>
      <c r="I144" s="368"/>
      <c r="J144" s="368"/>
      <c r="K144" s="368"/>
      <c r="L144" s="368"/>
      <c r="M144" s="368"/>
      <c r="N144" s="368"/>
      <c r="O144" s="430"/>
      <c r="P144" s="636"/>
      <c r="R144" s="48"/>
      <c r="S144" s="48"/>
      <c r="T144" s="48"/>
      <c r="U144" s="50"/>
      <c r="V144" s="48"/>
      <c r="W144" s="48"/>
      <c r="X144" s="16"/>
      <c r="Y144" s="16"/>
    </row>
    <row r="145" spans="1:25" ht="12.75">
      <c r="A145" s="368"/>
      <c r="B145" s="368"/>
      <c r="C145" s="368"/>
      <c r="D145" s="368"/>
      <c r="E145" s="368"/>
      <c r="F145" s="368"/>
      <c r="G145" s="368"/>
      <c r="H145" s="368"/>
      <c r="I145" s="368"/>
      <c r="J145" s="368"/>
      <c r="K145" s="368"/>
      <c r="L145" s="368"/>
      <c r="M145" s="368"/>
      <c r="N145" s="368"/>
      <c r="O145" s="430"/>
      <c r="P145" s="636"/>
      <c r="R145" s="48"/>
      <c r="S145" s="48"/>
      <c r="T145" s="48"/>
      <c r="U145" s="50"/>
      <c r="V145" s="48"/>
      <c r="W145" s="48"/>
      <c r="X145" s="16"/>
      <c r="Y145" s="16"/>
    </row>
    <row r="146" spans="1:25" ht="12.75">
      <c r="A146" s="368"/>
      <c r="B146" s="368"/>
      <c r="C146" s="368"/>
      <c r="D146" s="368"/>
      <c r="E146" s="368"/>
      <c r="F146" s="368"/>
      <c r="G146" s="368"/>
      <c r="H146" s="368"/>
      <c r="I146" s="368"/>
      <c r="J146" s="368"/>
      <c r="K146" s="368"/>
      <c r="L146" s="368"/>
      <c r="M146" s="368"/>
      <c r="N146" s="368"/>
      <c r="O146" s="437"/>
      <c r="P146" s="637"/>
      <c r="R146" s="48"/>
      <c r="S146" s="48"/>
      <c r="T146" s="48"/>
      <c r="U146" s="50"/>
      <c r="V146" s="48"/>
      <c r="W146" s="48"/>
      <c r="X146" s="16"/>
      <c r="Y146" s="16"/>
    </row>
    <row r="147" spans="1:25" ht="12.75">
      <c r="A147" s="368"/>
      <c r="B147" s="368"/>
      <c r="C147" s="368"/>
      <c r="D147" s="368"/>
      <c r="E147" s="368"/>
      <c r="F147" s="368"/>
      <c r="G147" s="368"/>
      <c r="H147" s="368"/>
      <c r="I147" s="368"/>
      <c r="J147" s="368"/>
      <c r="K147" s="368"/>
      <c r="L147" s="368"/>
      <c r="M147" s="368"/>
      <c r="N147" s="368"/>
      <c r="O147" s="113"/>
      <c r="P147" s="638"/>
      <c r="R147" s="48"/>
      <c r="S147" s="48"/>
      <c r="T147" s="48"/>
      <c r="U147" s="50"/>
      <c r="V147" s="48"/>
      <c r="W147" s="48"/>
      <c r="X147" s="16"/>
      <c r="Y147" s="16"/>
    </row>
    <row r="148" spans="1:25" ht="12.75">
      <c r="A148" s="368"/>
      <c r="B148" s="368"/>
      <c r="C148" s="368"/>
      <c r="D148" s="368"/>
      <c r="E148" s="368"/>
      <c r="F148" s="368"/>
      <c r="G148" s="368"/>
      <c r="H148" s="368"/>
      <c r="I148" s="368"/>
      <c r="J148" s="368"/>
      <c r="K148" s="368"/>
      <c r="L148" s="368"/>
      <c r="M148" s="368"/>
      <c r="N148" s="368"/>
      <c r="O148" s="390"/>
      <c r="P148" s="16"/>
      <c r="R148" s="48"/>
      <c r="S148" s="48"/>
      <c r="T148" s="48"/>
      <c r="U148" s="50"/>
      <c r="V148" s="48"/>
      <c r="W148" s="48"/>
      <c r="X148" s="16"/>
      <c r="Y148" s="16"/>
    </row>
    <row r="149" spans="1:25" ht="12.75">
      <c r="A149" s="368"/>
      <c r="B149" s="368"/>
      <c r="C149" s="368"/>
      <c r="D149" s="368"/>
      <c r="E149" s="368"/>
      <c r="F149" s="368"/>
      <c r="G149" s="368"/>
      <c r="H149" s="368"/>
      <c r="I149" s="368"/>
      <c r="J149" s="368"/>
      <c r="K149" s="368"/>
      <c r="L149" s="368"/>
      <c r="M149" s="368"/>
      <c r="N149" s="368"/>
      <c r="O149" s="390"/>
      <c r="P149" s="16"/>
      <c r="R149" s="50"/>
      <c r="S149" s="48"/>
      <c r="T149" s="48"/>
      <c r="U149" s="16"/>
      <c r="V149" s="48"/>
      <c r="W149" s="48"/>
      <c r="X149" s="16"/>
      <c r="Y149" s="16"/>
    </row>
    <row r="150" spans="1:25" ht="12.75">
      <c r="A150" s="368"/>
      <c r="B150" s="368"/>
      <c r="C150" s="368"/>
      <c r="D150" s="368"/>
      <c r="E150" s="368"/>
      <c r="F150" s="368"/>
      <c r="G150" s="368"/>
      <c r="H150" s="368"/>
      <c r="I150" s="368"/>
      <c r="J150" s="368"/>
      <c r="K150" s="368"/>
      <c r="L150" s="368"/>
      <c r="M150" s="368"/>
      <c r="N150" s="368"/>
      <c r="O150" s="368"/>
      <c r="R150" s="48"/>
      <c r="S150" s="48"/>
      <c r="T150" s="48"/>
      <c r="U150" s="50"/>
      <c r="V150" s="48"/>
      <c r="W150" s="48"/>
      <c r="X150" s="16"/>
      <c r="Y150" s="16"/>
    </row>
    <row r="151" spans="1:25" ht="12.75">
      <c r="A151" s="368"/>
      <c r="B151" s="368"/>
      <c r="C151" s="368"/>
      <c r="D151" s="368"/>
      <c r="E151" s="368"/>
      <c r="F151" s="368"/>
      <c r="G151" s="368"/>
      <c r="H151" s="368"/>
      <c r="I151" s="368"/>
      <c r="J151" s="368"/>
      <c r="K151" s="368"/>
      <c r="L151" s="368"/>
      <c r="M151" s="368"/>
      <c r="N151" s="368"/>
      <c r="O151" s="368"/>
      <c r="R151" s="48"/>
      <c r="S151" s="48"/>
      <c r="T151" s="48"/>
      <c r="U151" s="50"/>
      <c r="V151" s="48"/>
      <c r="W151" s="48"/>
      <c r="X151" s="16"/>
      <c r="Y151" s="16"/>
    </row>
    <row r="152" spans="1:25" ht="12.75">
      <c r="A152" s="368"/>
      <c r="B152" s="368"/>
      <c r="C152" s="368"/>
      <c r="D152" s="368"/>
      <c r="E152" s="368"/>
      <c r="F152" s="368"/>
      <c r="G152" s="368"/>
      <c r="H152" s="368"/>
      <c r="I152" s="368"/>
      <c r="J152" s="368"/>
      <c r="K152" s="368"/>
      <c r="L152" s="368"/>
      <c r="M152" s="368"/>
      <c r="N152" s="368"/>
      <c r="O152" s="368"/>
      <c r="R152" s="48"/>
      <c r="S152" s="48"/>
      <c r="T152" s="48"/>
      <c r="U152" s="50"/>
      <c r="V152" s="48"/>
      <c r="W152" s="48"/>
      <c r="X152" s="16"/>
      <c r="Y152" s="16"/>
    </row>
    <row r="153" spans="18:25" ht="12.75">
      <c r="R153" s="48"/>
      <c r="S153" s="48"/>
      <c r="T153" s="48"/>
      <c r="U153" s="50"/>
      <c r="V153" s="48"/>
      <c r="W153" s="48"/>
      <c r="X153" s="16"/>
      <c r="Y153" s="16"/>
    </row>
    <row r="154" spans="18:25" ht="12.75">
      <c r="R154" s="48"/>
      <c r="S154" s="48"/>
      <c r="T154" s="48"/>
      <c r="U154" s="50"/>
      <c r="V154" s="48"/>
      <c r="W154" s="48"/>
      <c r="X154" s="16"/>
      <c r="Y154" s="16"/>
    </row>
    <row r="155" spans="18:25" ht="12.75">
      <c r="R155" s="48"/>
      <c r="S155" s="48"/>
      <c r="T155" s="48"/>
      <c r="U155" s="50"/>
      <c r="V155" s="48"/>
      <c r="W155" s="48"/>
      <c r="X155" s="16"/>
      <c r="Y155" s="16"/>
    </row>
    <row r="156" spans="18:25" ht="12.75">
      <c r="R156" s="48"/>
      <c r="S156" s="48"/>
      <c r="T156" s="48"/>
      <c r="U156" s="50"/>
      <c r="V156" s="48"/>
      <c r="W156" s="48"/>
      <c r="X156" s="16"/>
      <c r="Y156" s="16"/>
    </row>
    <row r="157" spans="18:25" ht="12.75">
      <c r="R157" s="48"/>
      <c r="S157" s="48"/>
      <c r="T157" s="48"/>
      <c r="U157" s="50"/>
      <c r="V157" s="48"/>
      <c r="W157" s="48"/>
      <c r="X157" s="16"/>
      <c r="Y157" s="16"/>
    </row>
    <row r="158" spans="18:25" ht="12.75">
      <c r="R158" s="48"/>
      <c r="S158" s="48"/>
      <c r="T158" s="48"/>
      <c r="U158" s="50"/>
      <c r="V158" s="48"/>
      <c r="W158" s="48"/>
      <c r="X158" s="16"/>
      <c r="Y158" s="16"/>
    </row>
    <row r="159" spans="18:25" ht="12.75">
      <c r="R159" s="48"/>
      <c r="S159" s="48"/>
      <c r="T159" s="48"/>
      <c r="U159" s="50"/>
      <c r="V159" s="48"/>
      <c r="W159" s="48"/>
      <c r="X159" s="16"/>
      <c r="Y159" s="16"/>
    </row>
    <row r="160" spans="18:25" ht="12.75">
      <c r="R160" s="48"/>
      <c r="S160" s="48"/>
      <c r="T160" s="48"/>
      <c r="U160" s="16"/>
      <c r="V160" s="50"/>
      <c r="W160" s="48"/>
      <c r="X160" s="16"/>
      <c r="Y160" s="16"/>
    </row>
    <row r="161" spans="18:25" ht="12.75">
      <c r="R161" s="48"/>
      <c r="S161" s="48"/>
      <c r="T161" s="48"/>
      <c r="U161" s="50"/>
      <c r="V161" s="48"/>
      <c r="W161" s="48"/>
      <c r="X161" s="16"/>
      <c r="Y161" s="16"/>
    </row>
    <row r="162" spans="18:25" ht="12.75">
      <c r="R162" s="48"/>
      <c r="S162" s="48"/>
      <c r="T162" s="48"/>
      <c r="U162" s="50"/>
      <c r="V162" s="48"/>
      <c r="W162" s="48"/>
      <c r="X162" s="16"/>
      <c r="Y162" s="16"/>
    </row>
    <row r="163" spans="18:25" ht="12.75">
      <c r="R163" s="48"/>
      <c r="S163" s="48"/>
      <c r="T163" s="48"/>
      <c r="U163" s="50"/>
      <c r="V163" s="48"/>
      <c r="W163" s="48"/>
      <c r="X163" s="16"/>
      <c r="Y163" s="16"/>
    </row>
    <row r="164" spans="18:25" ht="12.75">
      <c r="R164" s="48"/>
      <c r="S164" s="48"/>
      <c r="T164" s="48"/>
      <c r="U164" s="50"/>
      <c r="V164" s="48"/>
      <c r="W164" s="48"/>
      <c r="X164" s="16"/>
      <c r="Y164" s="16"/>
    </row>
    <row r="165" spans="18:25" ht="12.75">
      <c r="R165" s="48"/>
      <c r="S165" s="48"/>
      <c r="T165" s="48"/>
      <c r="U165" s="50"/>
      <c r="V165" s="48"/>
      <c r="W165" s="48"/>
      <c r="X165" s="16"/>
      <c r="Y165" s="16"/>
    </row>
    <row r="166" spans="18:25" ht="12.75">
      <c r="R166" s="48"/>
      <c r="S166" s="48"/>
      <c r="T166" s="48"/>
      <c r="U166" s="50"/>
      <c r="V166" s="48"/>
      <c r="W166" s="48"/>
      <c r="X166" s="16"/>
      <c r="Y166" s="16"/>
    </row>
    <row r="167" spans="18:25" ht="12.75">
      <c r="R167" s="48"/>
      <c r="S167" s="48"/>
      <c r="T167" s="48"/>
      <c r="U167" s="50"/>
      <c r="V167" s="48"/>
      <c r="W167" s="48"/>
      <c r="X167" s="16"/>
      <c r="Y167" s="16"/>
    </row>
    <row r="168" spans="18:25" ht="12.75">
      <c r="R168" s="48"/>
      <c r="S168" s="48"/>
      <c r="T168" s="48"/>
      <c r="U168" s="50"/>
      <c r="V168" s="48"/>
      <c r="W168" s="48"/>
      <c r="X168" s="16"/>
      <c r="Y168" s="16"/>
    </row>
    <row r="169" spans="18:25" ht="12.75">
      <c r="R169" s="48"/>
      <c r="S169" s="48"/>
      <c r="T169" s="48"/>
      <c r="U169" s="50"/>
      <c r="V169" s="48"/>
      <c r="W169" s="48"/>
      <c r="X169" s="16"/>
      <c r="Y169" s="16"/>
    </row>
    <row r="170" spans="18:25" ht="12.75">
      <c r="R170" s="48"/>
      <c r="S170" s="48"/>
      <c r="T170" s="48"/>
      <c r="U170" s="50"/>
      <c r="V170" s="48"/>
      <c r="W170" s="48"/>
      <c r="X170" s="16"/>
      <c r="Y170" s="16"/>
    </row>
    <row r="171" spans="18:25" ht="12.75">
      <c r="R171" s="48"/>
      <c r="S171" s="48"/>
      <c r="T171" s="48"/>
      <c r="U171" s="50"/>
      <c r="V171" s="48"/>
      <c r="W171" s="48"/>
      <c r="X171" s="16"/>
      <c r="Y171" s="16"/>
    </row>
    <row r="172" spans="18:25" ht="12.75">
      <c r="R172" s="48"/>
      <c r="S172" s="48"/>
      <c r="T172" s="48"/>
      <c r="U172" s="50"/>
      <c r="V172" s="48"/>
      <c r="W172" s="48"/>
      <c r="X172" s="16"/>
      <c r="Y172" s="16"/>
    </row>
    <row r="173" spans="18:25" ht="12.75">
      <c r="R173" s="48"/>
      <c r="S173" s="48"/>
      <c r="T173" s="48"/>
      <c r="U173" s="48"/>
      <c r="V173" s="48"/>
      <c r="W173" s="48"/>
      <c r="X173" s="16"/>
      <c r="Y173" s="16"/>
    </row>
    <row r="174" spans="18:25" ht="12.75">
      <c r="R174" s="17"/>
      <c r="S174" s="17"/>
      <c r="T174" s="17"/>
      <c r="U174" s="17"/>
      <c r="V174" s="17"/>
      <c r="W174" s="17"/>
      <c r="X174" s="17"/>
      <c r="Y174" s="16"/>
    </row>
    <row r="175" spans="18:25" ht="12.75">
      <c r="R175" s="17"/>
      <c r="S175" s="17"/>
      <c r="T175" s="17"/>
      <c r="U175" s="17"/>
      <c r="V175" s="17"/>
      <c r="W175" s="17"/>
      <c r="X175" s="17"/>
      <c r="Y175" s="16"/>
    </row>
  </sheetData>
  <mergeCells count="16">
    <mergeCell ref="G18:H18"/>
    <mergeCell ref="G19:H19"/>
    <mergeCell ref="G13:H13"/>
    <mergeCell ref="G14:H14"/>
    <mergeCell ref="G15:H15"/>
    <mergeCell ref="G16:H16"/>
    <mergeCell ref="L23:N23"/>
    <mergeCell ref="O36:P36"/>
    <mergeCell ref="D6:E6"/>
    <mergeCell ref="G8:H8"/>
    <mergeCell ref="G9:H9"/>
    <mergeCell ref="G10:H10"/>
    <mergeCell ref="G11:H11"/>
    <mergeCell ref="G12:H12"/>
    <mergeCell ref="I23:K23"/>
    <mergeCell ref="G17:H17"/>
  </mergeCells>
  <printOptions/>
  <pageMargins left="0.75" right="0.75" top="1" bottom="1" header="0" footer="0"/>
  <pageSetup horizontalDpi="200" verticalDpi="200" orientation="portrait" paperSize="9" r:id="rId1"/>
</worksheet>
</file>

<file path=xl/worksheets/sheet21.xml><?xml version="1.0" encoding="utf-8"?>
<worksheet xmlns="http://schemas.openxmlformats.org/spreadsheetml/2006/main" xmlns:r="http://schemas.openxmlformats.org/officeDocument/2006/relationships">
  <sheetPr>
    <tabColor indexed="10"/>
  </sheetPr>
  <dimension ref="B1:K94"/>
  <sheetViews>
    <sheetView workbookViewId="0" topLeftCell="A1">
      <selection activeCell="F13" sqref="F13"/>
    </sheetView>
  </sheetViews>
  <sheetFormatPr defaultColWidth="11.421875" defaultRowHeight="12.75"/>
  <cols>
    <col min="1" max="1" width="2.8515625" style="76" customWidth="1"/>
    <col min="2" max="2" width="34.140625" style="0" customWidth="1"/>
    <col min="5" max="5" width="6.7109375" style="0" customWidth="1"/>
    <col min="6" max="6" width="11.421875" style="9" customWidth="1"/>
    <col min="7" max="7" width="20.00390625" style="132" customWidth="1"/>
    <col min="8" max="8" width="6.00390625" style="167" customWidth="1"/>
    <col min="9" max="9" width="11.421875" style="9" customWidth="1"/>
    <col min="10" max="10" width="18.421875" style="132" customWidth="1"/>
    <col min="11" max="11" width="5.8515625" style="167" customWidth="1"/>
    <col min="12" max="13" width="11.421875" style="76" customWidth="1"/>
  </cols>
  <sheetData>
    <row r="1" spans="2:11" ht="13.5" thickBot="1">
      <c r="B1" s="76"/>
      <c r="C1" s="76"/>
      <c r="D1" s="76"/>
      <c r="E1" s="76"/>
      <c r="F1" s="793"/>
      <c r="G1" s="794"/>
      <c r="H1" s="149"/>
      <c r="I1" s="793"/>
      <c r="J1" s="794"/>
      <c r="K1" s="149"/>
    </row>
    <row r="2" spans="2:11" ht="13.5" thickBot="1">
      <c r="B2" s="136"/>
      <c r="C2" s="77"/>
      <c r="D2" s="77"/>
      <c r="E2" s="77"/>
      <c r="F2" s="136"/>
      <c r="G2" s="187"/>
      <c r="H2" s="136"/>
      <c r="I2" s="136"/>
      <c r="J2" s="187"/>
      <c r="K2" s="138"/>
    </row>
    <row r="3" spans="2:11" ht="18.75" thickBot="1">
      <c r="B3" s="161" t="s">
        <v>324</v>
      </c>
      <c r="C3" s="177"/>
      <c r="D3" s="177"/>
      <c r="E3" s="177"/>
      <c r="F3" s="795" t="s">
        <v>195</v>
      </c>
      <c r="G3" s="796"/>
      <c r="H3" s="181" t="s">
        <v>256</v>
      </c>
      <c r="I3" s="795" t="s">
        <v>197</v>
      </c>
      <c r="J3" s="796"/>
      <c r="K3" s="181" t="s">
        <v>256</v>
      </c>
    </row>
    <row r="4" spans="2:11" ht="16.5" thickBot="1">
      <c r="B4" s="169" t="s">
        <v>323</v>
      </c>
      <c r="C4" s="4"/>
      <c r="D4" s="4"/>
      <c r="E4" s="4"/>
      <c r="F4" s="11"/>
      <c r="G4" s="4"/>
      <c r="H4" s="224"/>
      <c r="I4" s="11"/>
      <c r="J4" s="4"/>
      <c r="K4" s="224"/>
    </row>
    <row r="5" spans="2:11" ht="16.5" thickBot="1">
      <c r="B5" s="170"/>
      <c r="C5" s="6"/>
      <c r="D5" s="6"/>
      <c r="E5" s="280" t="s">
        <v>256</v>
      </c>
      <c r="F5" s="9" t="s">
        <v>577</v>
      </c>
      <c r="G5" s="6"/>
      <c r="H5" s="286">
        <f>(E7*5)-SUM(H6:H13)</f>
        <v>0</v>
      </c>
      <c r="I5" s="178" t="s">
        <v>537</v>
      </c>
      <c r="J5" s="6"/>
      <c r="K5" s="286">
        <f>(E7*5)-(E6*1)</f>
        <v>0</v>
      </c>
    </row>
    <row r="6" spans="2:11" ht="13.5" thickBot="1">
      <c r="B6" s="9"/>
      <c r="C6" s="275" t="s">
        <v>463</v>
      </c>
      <c r="D6" s="6"/>
      <c r="E6" s="331"/>
      <c r="F6" s="215" t="s">
        <v>258</v>
      </c>
      <c r="G6" s="6"/>
      <c r="H6" s="246"/>
      <c r="I6" s="178" t="s">
        <v>536</v>
      </c>
      <c r="J6" s="6"/>
      <c r="K6" s="286">
        <f>(E6*1)-SUM(K7:K15)</f>
        <v>0</v>
      </c>
    </row>
    <row r="7" spans="2:11" ht="13.5" thickBot="1">
      <c r="B7" s="9"/>
      <c r="C7" s="275" t="s">
        <v>464</v>
      </c>
      <c r="D7" s="6"/>
      <c r="E7" s="332"/>
      <c r="F7" s="215" t="s">
        <v>274</v>
      </c>
      <c r="G7" s="6"/>
      <c r="H7" s="285"/>
      <c r="I7" s="178" t="s">
        <v>551</v>
      </c>
      <c r="J7" s="6"/>
      <c r="K7" s="248"/>
    </row>
    <row r="8" spans="2:11" ht="13.5" thickBot="1">
      <c r="B8" s="9"/>
      <c r="C8" s="6"/>
      <c r="D8" s="6"/>
      <c r="E8" s="6"/>
      <c r="F8" s="215" t="s">
        <v>263</v>
      </c>
      <c r="G8" s="6"/>
      <c r="H8" s="285"/>
      <c r="I8" s="178" t="s">
        <v>519</v>
      </c>
      <c r="J8" s="6"/>
      <c r="K8" s="285"/>
    </row>
    <row r="9" spans="2:11" ht="13.5" thickBot="1">
      <c r="B9" s="9"/>
      <c r="C9" s="339" t="s">
        <v>488</v>
      </c>
      <c r="D9" s="6"/>
      <c r="E9" s="12"/>
      <c r="F9" s="215" t="s">
        <v>380</v>
      </c>
      <c r="G9" s="6"/>
      <c r="H9" s="285"/>
      <c r="I9" s="330" t="s">
        <v>520</v>
      </c>
      <c r="J9" s="6"/>
      <c r="K9" s="285"/>
    </row>
    <row r="10" spans="2:11" ht="13.5" thickBot="1">
      <c r="B10" s="9"/>
      <c r="C10" s="6"/>
      <c r="D10" s="6"/>
      <c r="E10" s="6"/>
      <c r="F10" s="215" t="s">
        <v>381</v>
      </c>
      <c r="G10" s="6"/>
      <c r="H10" s="285"/>
      <c r="I10" s="178" t="s">
        <v>266</v>
      </c>
      <c r="J10" s="6"/>
      <c r="K10" s="285"/>
    </row>
    <row r="11" spans="2:11" ht="13.5" thickBot="1">
      <c r="B11" s="9"/>
      <c r="C11" s="7" t="s">
        <v>489</v>
      </c>
      <c r="D11" s="6"/>
      <c r="E11" s="12"/>
      <c r="F11" s="215" t="s">
        <v>382</v>
      </c>
      <c r="G11" s="6"/>
      <c r="H11" s="285"/>
      <c r="I11" s="178" t="s">
        <v>345</v>
      </c>
      <c r="J11" s="6"/>
      <c r="K11" s="285"/>
    </row>
    <row r="12" spans="2:11" ht="12.75">
      <c r="B12" s="9"/>
      <c r="F12" s="215" t="s">
        <v>383</v>
      </c>
      <c r="G12" s="6"/>
      <c r="H12" s="285"/>
      <c r="I12" s="178" t="s">
        <v>522</v>
      </c>
      <c r="J12" s="6"/>
      <c r="K12" s="285"/>
    </row>
    <row r="13" spans="2:11" ht="13.5" thickBot="1">
      <c r="B13" s="9"/>
      <c r="C13" s="6"/>
      <c r="D13" s="6"/>
      <c r="E13" s="6"/>
      <c r="F13" s="215" t="s">
        <v>384</v>
      </c>
      <c r="G13" s="6"/>
      <c r="H13" s="323"/>
      <c r="I13" s="209" t="s">
        <v>523</v>
      </c>
      <c r="J13" s="6"/>
      <c r="K13" s="285"/>
    </row>
    <row r="14" spans="2:11" ht="12.75">
      <c r="B14" s="9"/>
      <c r="C14" s="6"/>
      <c r="D14" s="6"/>
      <c r="E14" s="6"/>
      <c r="G14" s="6"/>
      <c r="H14" s="163"/>
      <c r="I14" s="178" t="s">
        <v>267</v>
      </c>
      <c r="J14" s="6"/>
      <c r="K14" s="285"/>
    </row>
    <row r="15" spans="2:11" ht="13.5" thickBot="1">
      <c r="B15" s="133"/>
      <c r="C15" s="134"/>
      <c r="D15" s="134"/>
      <c r="E15" s="134"/>
      <c r="F15" s="133"/>
      <c r="G15" s="134"/>
      <c r="H15" s="231"/>
      <c r="I15" s="179" t="s">
        <v>346</v>
      </c>
      <c r="J15" s="134"/>
      <c r="K15" s="323"/>
    </row>
    <row r="16" spans="2:11" ht="7.5" customHeight="1" thickBot="1">
      <c r="B16" s="136"/>
      <c r="C16" s="77"/>
      <c r="D16" s="77"/>
      <c r="E16" s="77"/>
      <c r="F16" s="256"/>
      <c r="G16" s="77"/>
      <c r="H16" s="138"/>
      <c r="I16" s="77"/>
      <c r="J16" s="77"/>
      <c r="K16" s="138"/>
    </row>
    <row r="17" spans="2:11" ht="16.5" thickBot="1">
      <c r="B17" s="169" t="s">
        <v>325</v>
      </c>
      <c r="C17" s="4"/>
      <c r="D17" s="4"/>
      <c r="E17" s="20"/>
      <c r="G17" s="6"/>
      <c r="H17" s="16"/>
      <c r="I17" s="77"/>
      <c r="J17" s="77"/>
      <c r="K17" s="143"/>
    </row>
    <row r="18" spans="2:11" ht="13.5" thickBot="1">
      <c r="B18" s="9"/>
      <c r="C18" s="22" t="s">
        <v>614</v>
      </c>
      <c r="D18" s="7"/>
      <c r="E18" s="338"/>
      <c r="F18" s="360" t="s">
        <v>327</v>
      </c>
      <c r="G18" s="361"/>
      <c r="H18" s="362">
        <f>E18</f>
        <v>0</v>
      </c>
      <c r="I18" s="199"/>
      <c r="J18" s="77"/>
      <c r="K18" s="138"/>
    </row>
    <row r="19" spans="2:11" ht="12.75">
      <c r="B19" s="9" t="s">
        <v>328</v>
      </c>
      <c r="C19" s="6"/>
      <c r="D19" s="6"/>
      <c r="E19" s="132"/>
      <c r="F19" s="178" t="s">
        <v>316</v>
      </c>
      <c r="G19" s="6"/>
      <c r="H19" s="246"/>
      <c r="I19" s="200"/>
      <c r="J19" s="77"/>
      <c r="K19" s="138"/>
    </row>
    <row r="20" spans="2:11" ht="13.5" thickBot="1">
      <c r="B20" s="209" t="s">
        <v>330</v>
      </c>
      <c r="C20" s="6"/>
      <c r="D20" s="6"/>
      <c r="E20" s="132"/>
      <c r="F20" s="178" t="s">
        <v>315</v>
      </c>
      <c r="G20" s="6"/>
      <c r="H20" s="323"/>
      <c r="I20" s="200"/>
      <c r="J20" s="77"/>
      <c r="K20" s="138"/>
    </row>
    <row r="21" spans="2:11" ht="7.5" customHeight="1" thickBot="1">
      <c r="B21" s="136"/>
      <c r="C21" s="77"/>
      <c r="D21" s="77"/>
      <c r="E21" s="77"/>
      <c r="F21" s="197"/>
      <c r="G21" s="77"/>
      <c r="H21" s="136"/>
      <c r="I21" s="77"/>
      <c r="J21" s="77"/>
      <c r="K21" s="138"/>
    </row>
    <row r="22" spans="2:11" ht="16.5" thickBot="1">
      <c r="B22" s="169" t="s">
        <v>326</v>
      </c>
      <c r="C22" s="4"/>
      <c r="D22" s="4"/>
      <c r="E22" s="20"/>
      <c r="G22" s="6"/>
      <c r="H22" s="16"/>
      <c r="I22" s="140"/>
      <c r="J22" s="140"/>
      <c r="K22" s="143"/>
    </row>
    <row r="23" spans="2:11" ht="13.5" thickBot="1">
      <c r="B23" s="9"/>
      <c r="C23" s="22" t="s">
        <v>614</v>
      </c>
      <c r="D23" s="7"/>
      <c r="E23" s="338"/>
      <c r="F23" s="360" t="s">
        <v>327</v>
      </c>
      <c r="G23" s="361"/>
      <c r="H23" s="362">
        <f>E23</f>
        <v>0</v>
      </c>
      <c r="I23" s="200"/>
      <c r="J23" s="77"/>
      <c r="K23" s="203"/>
    </row>
    <row r="24" spans="2:11" ht="12.75">
      <c r="B24" s="9" t="s">
        <v>328</v>
      </c>
      <c r="C24" s="6"/>
      <c r="D24" s="6"/>
      <c r="E24" s="132"/>
      <c r="F24" s="178" t="s">
        <v>316</v>
      </c>
      <c r="G24" s="6"/>
      <c r="H24" s="246"/>
      <c r="I24" s="197"/>
      <c r="J24" s="77"/>
      <c r="K24" s="203"/>
    </row>
    <row r="25" spans="2:11" ht="13.5" thickBot="1">
      <c r="B25" s="209" t="s">
        <v>329</v>
      </c>
      <c r="C25" s="6"/>
      <c r="D25" s="6"/>
      <c r="E25" s="132"/>
      <c r="F25" s="178" t="s">
        <v>315</v>
      </c>
      <c r="G25" s="6"/>
      <c r="H25" s="323"/>
      <c r="I25" s="197"/>
      <c r="J25" s="77"/>
      <c r="K25" s="203"/>
    </row>
    <row r="26" spans="2:11" ht="7.5" customHeight="1" thickBot="1">
      <c r="B26" s="201"/>
      <c r="C26" s="140"/>
      <c r="D26" s="140"/>
      <c r="E26" s="142"/>
      <c r="F26" s="136"/>
      <c r="G26" s="137"/>
      <c r="H26" s="138"/>
      <c r="I26" s="197"/>
      <c r="J26" s="77"/>
      <c r="K26" s="203"/>
    </row>
    <row r="27" spans="2:11" ht="16.5" thickBot="1">
      <c r="B27" s="169" t="s">
        <v>331</v>
      </c>
      <c r="C27" s="4"/>
      <c r="D27" s="4"/>
      <c r="E27" s="20"/>
      <c r="G27" s="6"/>
      <c r="H27" s="16"/>
      <c r="I27" s="200"/>
      <c r="J27" s="77"/>
      <c r="K27" s="203"/>
    </row>
    <row r="28" spans="2:11" ht="13.5" thickBot="1">
      <c r="B28" s="9"/>
      <c r="C28" s="22" t="s">
        <v>615</v>
      </c>
      <c r="D28" s="7"/>
      <c r="E28" s="338"/>
      <c r="F28" s="209" t="s">
        <v>123</v>
      </c>
      <c r="G28" s="6"/>
      <c r="H28" s="30">
        <f>E28-H29-H30-H31-H32-H33</f>
        <v>0</v>
      </c>
      <c r="I28" s="77"/>
      <c r="J28" s="77"/>
      <c r="K28" s="138"/>
    </row>
    <row r="29" spans="2:11" ht="12.75">
      <c r="B29" s="9"/>
      <c r="C29" s="6"/>
      <c r="D29" s="6"/>
      <c r="E29" s="132"/>
      <c r="F29" s="209" t="s">
        <v>298</v>
      </c>
      <c r="G29" s="6"/>
      <c r="H29" s="246"/>
      <c r="I29" s="136"/>
      <c r="J29" s="77"/>
      <c r="K29" s="138"/>
    </row>
    <row r="30" spans="2:11" ht="12.75">
      <c r="B30" s="9"/>
      <c r="C30" s="6"/>
      <c r="D30" s="6"/>
      <c r="E30" s="132"/>
      <c r="F30" s="209" t="s">
        <v>454</v>
      </c>
      <c r="G30" s="6"/>
      <c r="H30" s="285"/>
      <c r="I30" s="136"/>
      <c r="J30" s="77"/>
      <c r="K30" s="138"/>
    </row>
    <row r="31" spans="2:11" ht="12.75">
      <c r="B31" s="9"/>
      <c r="C31" s="6"/>
      <c r="D31" s="6"/>
      <c r="E31" s="132"/>
      <c r="F31" s="209" t="s">
        <v>453</v>
      </c>
      <c r="G31" s="6"/>
      <c r="H31" s="285"/>
      <c r="I31" s="136"/>
      <c r="J31" s="77"/>
      <c r="K31" s="138"/>
    </row>
    <row r="32" spans="2:11" ht="12.75">
      <c r="B32" s="9"/>
      <c r="C32" s="6"/>
      <c r="D32" s="6"/>
      <c r="E32" s="132"/>
      <c r="F32" s="209" t="s">
        <v>455</v>
      </c>
      <c r="G32" s="6"/>
      <c r="H32" s="285"/>
      <c r="I32" s="136"/>
      <c r="J32" s="77"/>
      <c r="K32" s="138"/>
    </row>
    <row r="33" spans="2:11" ht="12.75">
      <c r="B33" s="9"/>
      <c r="C33" s="6"/>
      <c r="D33" s="6"/>
      <c r="E33" s="132"/>
      <c r="F33" s="209" t="s">
        <v>456</v>
      </c>
      <c r="G33" s="6"/>
      <c r="H33" s="285"/>
      <c r="I33" s="136"/>
      <c r="J33" s="77"/>
      <c r="K33" s="138"/>
    </row>
    <row r="34" spans="2:11" ht="12.75">
      <c r="B34" s="9"/>
      <c r="C34" s="6"/>
      <c r="D34" s="6"/>
      <c r="E34" s="132"/>
      <c r="F34" s="178" t="s">
        <v>316</v>
      </c>
      <c r="G34" s="6"/>
      <c r="H34" s="285"/>
      <c r="I34" s="136"/>
      <c r="J34" s="77"/>
      <c r="K34" s="138"/>
    </row>
    <row r="35" spans="2:11" ht="13.5" thickBot="1">
      <c r="B35" s="209"/>
      <c r="C35" s="6"/>
      <c r="D35" s="6"/>
      <c r="E35" s="132"/>
      <c r="F35" s="178" t="s">
        <v>315</v>
      </c>
      <c r="G35" s="6"/>
      <c r="H35" s="323"/>
      <c r="I35" s="136"/>
      <c r="J35" s="77"/>
      <c r="K35" s="138"/>
    </row>
    <row r="36" spans="2:11" ht="13.5" thickBot="1">
      <c r="B36" s="136"/>
      <c r="C36" s="77"/>
      <c r="D36" s="77"/>
      <c r="E36" s="77"/>
      <c r="F36" s="136"/>
      <c r="G36" s="77"/>
      <c r="H36" s="136"/>
      <c r="I36" s="136"/>
      <c r="J36" s="77"/>
      <c r="K36" s="138"/>
    </row>
    <row r="37" spans="2:11" ht="16.5" thickBot="1">
      <c r="B37" s="169" t="s">
        <v>332</v>
      </c>
      <c r="C37" s="4"/>
      <c r="D37" s="4"/>
      <c r="E37" s="20"/>
      <c r="G37" s="6"/>
      <c r="H37" s="16"/>
      <c r="I37" s="77"/>
      <c r="J37" s="77"/>
      <c r="K37" s="138"/>
    </row>
    <row r="38" spans="2:11" ht="13.5" thickBot="1">
      <c r="B38" s="9"/>
      <c r="C38" s="22" t="s">
        <v>617</v>
      </c>
      <c r="D38" s="7"/>
      <c r="E38" s="338"/>
      <c r="F38" s="360" t="s">
        <v>333</v>
      </c>
      <c r="G38" s="361"/>
      <c r="H38" s="362">
        <f>E38</f>
        <v>0</v>
      </c>
      <c r="I38" s="77"/>
      <c r="J38" s="77"/>
      <c r="K38" s="138"/>
    </row>
    <row r="39" spans="2:11" ht="13.5" thickBot="1">
      <c r="B39" s="9"/>
      <c r="C39" s="6"/>
      <c r="D39" s="6"/>
      <c r="E39" s="132"/>
      <c r="F39" s="178" t="s">
        <v>316</v>
      </c>
      <c r="G39" s="6"/>
      <c r="H39" s="246"/>
      <c r="I39" s="144"/>
      <c r="J39" s="205"/>
      <c r="K39" s="145"/>
    </row>
    <row r="40" spans="2:11" ht="14.25" customHeight="1" thickBot="1">
      <c r="B40" s="209"/>
      <c r="C40" s="6"/>
      <c r="D40" s="6"/>
      <c r="E40" s="132"/>
      <c r="F40" s="178" t="s">
        <v>315</v>
      </c>
      <c r="G40" s="6"/>
      <c r="H40" s="323"/>
      <c r="I40" s="136"/>
      <c r="J40" s="77"/>
      <c r="K40" s="138"/>
    </row>
    <row r="41" spans="2:11" ht="16.5" thickBot="1">
      <c r="B41" s="112"/>
      <c r="C41" s="76"/>
      <c r="D41" s="76"/>
      <c r="E41" s="76"/>
      <c r="F41" s="136"/>
      <c r="G41" s="137"/>
      <c r="H41" s="138"/>
      <c r="I41" s="136"/>
      <c r="J41" s="137"/>
      <c r="K41" s="138"/>
    </row>
    <row r="42" spans="2:11" ht="16.5" thickBot="1">
      <c r="B42" s="169" t="s">
        <v>334</v>
      </c>
      <c r="C42" s="4"/>
      <c r="D42" s="4"/>
      <c r="E42" s="20"/>
      <c r="G42" s="6"/>
      <c r="H42" s="16"/>
      <c r="I42" s="77"/>
      <c r="J42" s="137"/>
      <c r="K42" s="203"/>
    </row>
    <row r="43" spans="2:11" ht="13.5" thickBot="1">
      <c r="B43" s="9"/>
      <c r="C43" s="22" t="s">
        <v>616</v>
      </c>
      <c r="D43" s="7"/>
      <c r="E43" s="338"/>
      <c r="F43" s="360" t="s">
        <v>335</v>
      </c>
      <c r="G43" s="361"/>
      <c r="H43" s="362">
        <f>E43</f>
        <v>0</v>
      </c>
      <c r="I43" s="77"/>
      <c r="J43" s="137"/>
      <c r="K43" s="203"/>
    </row>
    <row r="44" spans="2:11" ht="12.75">
      <c r="B44" s="9"/>
      <c r="C44" s="6"/>
      <c r="D44" s="6"/>
      <c r="E44" s="132"/>
      <c r="F44" s="178" t="s">
        <v>316</v>
      </c>
      <c r="G44" s="6"/>
      <c r="H44" s="246"/>
      <c r="I44" s="136"/>
      <c r="J44" s="137"/>
      <c r="K44" s="203"/>
    </row>
    <row r="45" spans="2:11" ht="13.5" thickBot="1">
      <c r="B45" s="209"/>
      <c r="C45" s="6"/>
      <c r="D45" s="6"/>
      <c r="E45" s="132"/>
      <c r="F45" s="178" t="s">
        <v>315</v>
      </c>
      <c r="G45" s="6"/>
      <c r="H45" s="323"/>
      <c r="I45" s="136"/>
      <c r="J45" s="137"/>
      <c r="K45" s="203"/>
    </row>
    <row r="46" spans="2:11" ht="12.75">
      <c r="B46" s="76"/>
      <c r="C46" s="76"/>
      <c r="D46" s="76"/>
      <c r="E46" s="76"/>
      <c r="F46" s="136"/>
      <c r="G46" s="137"/>
      <c r="H46" s="359"/>
      <c r="I46" s="136"/>
      <c r="J46" s="137"/>
      <c r="K46" s="203"/>
    </row>
    <row r="47" spans="2:11" ht="12.75">
      <c r="B47" s="76"/>
      <c r="C47" s="76"/>
      <c r="D47" s="76"/>
      <c r="E47" s="76"/>
      <c r="F47" s="136"/>
      <c r="G47" s="137" t="s">
        <v>166</v>
      </c>
      <c r="H47" s="379">
        <f>(E7*5)+E18+E23+E28+H38+H43</f>
        <v>0</v>
      </c>
      <c r="I47" s="136"/>
      <c r="J47" s="137"/>
      <c r="K47" s="207"/>
    </row>
    <row r="48" spans="2:11" ht="13.5" thickBot="1">
      <c r="B48" s="76"/>
      <c r="C48" s="76"/>
      <c r="D48" s="76"/>
      <c r="E48" s="76"/>
      <c r="F48" s="136"/>
      <c r="G48" s="137" t="s">
        <v>469</v>
      </c>
      <c r="H48" s="380">
        <f>E6+H18+H23+H28+H29+H30+H31+H32+H33+H38+H43</f>
        <v>0</v>
      </c>
      <c r="I48" s="136"/>
      <c r="J48" s="137"/>
      <c r="K48" s="191"/>
    </row>
    <row r="49" spans="2:11" ht="12.75">
      <c r="B49" s="76"/>
      <c r="C49" s="76"/>
      <c r="D49" s="76"/>
      <c r="E49" s="76"/>
      <c r="F49" s="136"/>
      <c r="G49" s="137" t="s">
        <v>470</v>
      </c>
      <c r="H49" s="258">
        <f>E7+H18+H23+H28+H29+H30+H31+H32+H33+H38+H43</f>
        <v>0</v>
      </c>
      <c r="I49" s="136"/>
      <c r="J49" s="137"/>
      <c r="K49" s="138"/>
    </row>
    <row r="50" spans="2:11" ht="12.75">
      <c r="B50" s="76"/>
      <c r="C50" s="76"/>
      <c r="D50" s="76"/>
      <c r="E50" s="76"/>
      <c r="F50" s="136"/>
      <c r="G50" s="137" t="s">
        <v>473</v>
      </c>
      <c r="H50" s="299">
        <f>E7*5</f>
        <v>0</v>
      </c>
      <c r="I50" s="136"/>
      <c r="J50" s="137"/>
      <c r="K50" s="138"/>
    </row>
    <row r="51" spans="2:11" ht="12.75">
      <c r="B51" s="76"/>
      <c r="C51" s="76"/>
      <c r="D51" s="76"/>
      <c r="E51" s="76"/>
      <c r="F51" s="136"/>
      <c r="G51" s="137" t="s">
        <v>479</v>
      </c>
      <c r="H51" s="258">
        <f>E7*5</f>
        <v>0</v>
      </c>
      <c r="I51" s="136"/>
      <c r="J51" s="137"/>
      <c r="K51" s="138"/>
    </row>
    <row r="52" spans="2:11" ht="12.75">
      <c r="B52" s="76"/>
      <c r="C52" s="76"/>
      <c r="D52" s="76"/>
      <c r="E52" s="76"/>
      <c r="F52" s="136"/>
      <c r="G52" s="137"/>
      <c r="H52" s="138"/>
      <c r="I52" s="136"/>
      <c r="J52" s="137"/>
      <c r="K52" s="138"/>
    </row>
    <row r="53" spans="2:11" ht="12.75">
      <c r="B53" s="76"/>
      <c r="C53" s="76"/>
      <c r="D53" s="76"/>
      <c r="E53" s="76"/>
      <c r="F53" s="136"/>
      <c r="G53" s="137"/>
      <c r="H53" s="138"/>
      <c r="I53" s="136"/>
      <c r="J53" s="137"/>
      <c r="K53" s="138"/>
    </row>
    <row r="54" spans="2:11" ht="12.75">
      <c r="B54" s="76"/>
      <c r="C54" s="76"/>
      <c r="D54" s="76"/>
      <c r="E54" s="76"/>
      <c r="F54" s="136"/>
      <c r="G54" s="137"/>
      <c r="H54" s="138"/>
      <c r="I54" s="136"/>
      <c r="J54" s="137"/>
      <c r="K54" s="138"/>
    </row>
    <row r="55" spans="2:11" ht="12.75">
      <c r="B55" s="76"/>
      <c r="C55" s="76"/>
      <c r="D55" s="76"/>
      <c r="E55" s="76"/>
      <c r="F55" s="136"/>
      <c r="G55" s="137"/>
      <c r="H55" s="138"/>
      <c r="I55" s="136"/>
      <c r="J55" s="137"/>
      <c r="K55" s="138"/>
    </row>
    <row r="56" spans="2:11" ht="12.75">
      <c r="B56" s="76"/>
      <c r="C56" s="76"/>
      <c r="D56" s="76"/>
      <c r="E56" s="76"/>
      <c r="F56" s="136"/>
      <c r="G56" s="137"/>
      <c r="H56" s="138"/>
      <c r="I56" s="136"/>
      <c r="J56" s="137"/>
      <c r="K56" s="138"/>
    </row>
    <row r="57" spans="2:11" ht="12.75">
      <c r="B57" s="76"/>
      <c r="C57" s="76"/>
      <c r="D57" s="76"/>
      <c r="E57" s="76"/>
      <c r="F57" s="136"/>
      <c r="G57" s="137"/>
      <c r="H57" s="138"/>
      <c r="I57" s="136"/>
      <c r="J57" s="137"/>
      <c r="K57" s="138"/>
    </row>
    <row r="58" spans="2:11" ht="12.75">
      <c r="B58" s="76"/>
      <c r="C58" s="76"/>
      <c r="D58" s="76"/>
      <c r="E58" s="76"/>
      <c r="F58" s="136"/>
      <c r="G58" s="137"/>
      <c r="H58" s="138"/>
      <c r="I58" s="136"/>
      <c r="J58" s="137"/>
      <c r="K58" s="138"/>
    </row>
    <row r="59" spans="2:11" ht="12.75">
      <c r="B59" s="76"/>
      <c r="C59" s="76"/>
      <c r="D59" s="76"/>
      <c r="E59" s="76"/>
      <c r="F59" s="136"/>
      <c r="G59" s="137"/>
      <c r="H59" s="138"/>
      <c r="I59" s="136"/>
      <c r="J59" s="137"/>
      <c r="K59" s="138"/>
    </row>
    <row r="60" spans="2:11" ht="12.75">
      <c r="B60" s="76"/>
      <c r="C60" s="76"/>
      <c r="D60" s="76"/>
      <c r="E60" s="76"/>
      <c r="F60" s="136"/>
      <c r="G60" s="137"/>
      <c r="H60" s="138"/>
      <c r="I60" s="136"/>
      <c r="J60" s="137"/>
      <c r="K60" s="138"/>
    </row>
    <row r="61" spans="2:11" ht="12.75">
      <c r="B61" s="76"/>
      <c r="C61" s="76"/>
      <c r="D61" s="76"/>
      <c r="E61" s="76"/>
      <c r="F61" s="136"/>
      <c r="G61" s="137"/>
      <c r="H61" s="138"/>
      <c r="I61" s="136"/>
      <c r="J61" s="137"/>
      <c r="K61" s="138"/>
    </row>
    <row r="62" spans="2:11" ht="12.75">
      <c r="B62" s="76"/>
      <c r="C62" s="76"/>
      <c r="D62" s="76"/>
      <c r="E62" s="76"/>
      <c r="F62" s="136"/>
      <c r="G62" s="137"/>
      <c r="H62" s="138"/>
      <c r="I62" s="136"/>
      <c r="J62" s="137"/>
      <c r="K62" s="138"/>
    </row>
    <row r="63" spans="2:11" ht="12.75">
      <c r="B63" s="76"/>
      <c r="C63" s="76"/>
      <c r="D63" s="76"/>
      <c r="E63" s="76"/>
      <c r="F63" s="136"/>
      <c r="G63" s="137"/>
      <c r="H63" s="138"/>
      <c r="I63" s="136"/>
      <c r="J63" s="137"/>
      <c r="K63" s="138"/>
    </row>
    <row r="64" spans="2:11" ht="12.75">
      <c r="B64" s="76"/>
      <c r="C64" s="76"/>
      <c r="D64" s="76"/>
      <c r="E64" s="76"/>
      <c r="F64" s="136"/>
      <c r="G64" s="137"/>
      <c r="H64" s="138"/>
      <c r="I64" s="136"/>
      <c r="J64" s="137"/>
      <c r="K64" s="138"/>
    </row>
    <row r="65" spans="2:11" ht="12.75">
      <c r="B65" s="76"/>
      <c r="C65" s="76"/>
      <c r="D65" s="76"/>
      <c r="E65" s="76"/>
      <c r="F65" s="136"/>
      <c r="G65" s="137"/>
      <c r="H65" s="138"/>
      <c r="I65" s="136"/>
      <c r="J65" s="137"/>
      <c r="K65" s="138"/>
    </row>
    <row r="66" spans="2:11" ht="12.75">
      <c r="B66" s="76"/>
      <c r="C66" s="76"/>
      <c r="D66" s="76"/>
      <c r="E66" s="76"/>
      <c r="F66" s="136"/>
      <c r="G66" s="137"/>
      <c r="H66" s="138"/>
      <c r="I66" s="136"/>
      <c r="J66" s="137"/>
      <c r="K66" s="138"/>
    </row>
    <row r="67" spans="2:11" ht="12.75">
      <c r="B67" s="76"/>
      <c r="C67" s="76"/>
      <c r="D67" s="76"/>
      <c r="E67" s="76"/>
      <c r="F67" s="136"/>
      <c r="G67" s="137"/>
      <c r="H67" s="138"/>
      <c r="I67" s="136"/>
      <c r="J67" s="137"/>
      <c r="K67" s="138"/>
    </row>
    <row r="68" spans="2:11" ht="12.75">
      <c r="B68" s="76"/>
      <c r="C68" s="76"/>
      <c r="D68" s="76"/>
      <c r="E68" s="76"/>
      <c r="F68" s="136"/>
      <c r="G68" s="137"/>
      <c r="H68" s="138"/>
      <c r="I68" s="136"/>
      <c r="J68" s="137"/>
      <c r="K68" s="138"/>
    </row>
    <row r="69" spans="2:11" ht="12.75">
      <c r="B69" s="76"/>
      <c r="C69" s="76"/>
      <c r="D69" s="76"/>
      <c r="E69" s="76"/>
      <c r="F69" s="136"/>
      <c r="G69" s="137"/>
      <c r="H69" s="138"/>
      <c r="I69" s="136"/>
      <c r="J69" s="137"/>
      <c r="K69" s="138"/>
    </row>
    <row r="70" spans="2:11" ht="12.75">
      <c r="B70" s="76"/>
      <c r="C70" s="76"/>
      <c r="D70" s="76"/>
      <c r="E70" s="76"/>
      <c r="F70" s="136"/>
      <c r="G70" s="137"/>
      <c r="H70" s="138"/>
      <c r="I70" s="136"/>
      <c r="J70" s="137"/>
      <c r="K70" s="138"/>
    </row>
    <row r="71" spans="2:11" ht="12.75">
      <c r="B71" s="76"/>
      <c r="C71" s="76"/>
      <c r="D71" s="76"/>
      <c r="E71" s="76"/>
      <c r="F71" s="136"/>
      <c r="G71" s="137"/>
      <c r="H71" s="138"/>
      <c r="I71" s="136"/>
      <c r="J71" s="137"/>
      <c r="K71" s="138"/>
    </row>
    <row r="72" spans="2:11" ht="12.75">
      <c r="B72" s="76"/>
      <c r="C72" s="76"/>
      <c r="D72" s="76"/>
      <c r="E72" s="76"/>
      <c r="F72" s="136"/>
      <c r="G72" s="137"/>
      <c r="H72" s="138"/>
      <c r="I72" s="136"/>
      <c r="J72" s="137"/>
      <c r="K72" s="138"/>
    </row>
    <row r="73" spans="2:11" ht="12.75">
      <c r="B73" s="76"/>
      <c r="C73" s="76"/>
      <c r="D73" s="76"/>
      <c r="E73" s="76"/>
      <c r="F73" s="136"/>
      <c r="G73" s="137"/>
      <c r="H73" s="138"/>
      <c r="I73" s="136"/>
      <c r="J73" s="137"/>
      <c r="K73" s="138"/>
    </row>
    <row r="74" spans="2:11" ht="12.75">
      <c r="B74" s="76"/>
      <c r="C74" s="76"/>
      <c r="D74" s="76"/>
      <c r="E74" s="76"/>
      <c r="F74" s="136"/>
      <c r="G74" s="137"/>
      <c r="H74" s="138"/>
      <c r="I74" s="136"/>
      <c r="J74" s="137"/>
      <c r="K74" s="138"/>
    </row>
    <row r="75" spans="2:11" ht="12.75">
      <c r="B75" s="76"/>
      <c r="C75" s="76"/>
      <c r="D75" s="76"/>
      <c r="E75" s="76"/>
      <c r="F75" s="136"/>
      <c r="G75" s="137"/>
      <c r="H75" s="138"/>
      <c r="I75" s="136"/>
      <c r="J75" s="137"/>
      <c r="K75" s="138"/>
    </row>
    <row r="76" spans="2:11" ht="12.75">
      <c r="B76" s="76"/>
      <c r="C76" s="76"/>
      <c r="D76" s="76"/>
      <c r="E76" s="76"/>
      <c r="F76" s="136"/>
      <c r="G76" s="137"/>
      <c r="H76" s="138"/>
      <c r="I76" s="136"/>
      <c r="J76" s="137"/>
      <c r="K76" s="138"/>
    </row>
    <row r="77" spans="2:11" ht="12.75">
      <c r="B77" s="76"/>
      <c r="C77" s="76"/>
      <c r="D77" s="76"/>
      <c r="E77" s="76"/>
      <c r="F77" s="136"/>
      <c r="G77" s="137"/>
      <c r="H77" s="138"/>
      <c r="I77" s="136"/>
      <c r="J77" s="137"/>
      <c r="K77" s="138"/>
    </row>
    <row r="78" spans="2:11" ht="12.75">
      <c r="B78" s="76"/>
      <c r="C78" s="76"/>
      <c r="D78" s="76"/>
      <c r="E78" s="76"/>
      <c r="F78" s="136"/>
      <c r="G78" s="137"/>
      <c r="H78" s="138"/>
      <c r="I78" s="136"/>
      <c r="J78" s="137"/>
      <c r="K78" s="138"/>
    </row>
    <row r="79" spans="2:11" ht="12.75">
      <c r="B79" s="76"/>
      <c r="C79" s="76"/>
      <c r="D79" s="76"/>
      <c r="E79" s="76"/>
      <c r="F79" s="136"/>
      <c r="G79" s="137"/>
      <c r="H79" s="138"/>
      <c r="I79" s="136"/>
      <c r="J79" s="137"/>
      <c r="K79" s="138"/>
    </row>
    <row r="80" spans="2:11" ht="12.75">
      <c r="B80" s="76"/>
      <c r="C80" s="76"/>
      <c r="D80" s="76"/>
      <c r="E80" s="76"/>
      <c r="F80" s="136"/>
      <c r="G80" s="137"/>
      <c r="H80" s="138"/>
      <c r="I80" s="136"/>
      <c r="J80" s="137"/>
      <c r="K80" s="138"/>
    </row>
    <row r="81" spans="2:11" ht="12.75">
      <c r="B81" s="76"/>
      <c r="C81" s="76"/>
      <c r="D81" s="76"/>
      <c r="E81" s="76"/>
      <c r="F81" s="136"/>
      <c r="G81" s="137"/>
      <c r="H81" s="138"/>
      <c r="I81" s="136"/>
      <c r="J81" s="137"/>
      <c r="K81" s="138"/>
    </row>
    <row r="82" spans="2:11" ht="12.75">
      <c r="B82" s="76"/>
      <c r="C82" s="76"/>
      <c r="D82" s="76"/>
      <c r="E82" s="76"/>
      <c r="F82" s="136"/>
      <c r="G82" s="137"/>
      <c r="H82" s="138"/>
      <c r="I82" s="136"/>
      <c r="J82" s="137"/>
      <c r="K82" s="138"/>
    </row>
    <row r="83" spans="2:11" ht="12.75">
      <c r="B83" s="76"/>
      <c r="C83" s="76"/>
      <c r="D83" s="76"/>
      <c r="E83" s="76"/>
      <c r="F83" s="136"/>
      <c r="G83" s="137"/>
      <c r="H83" s="138"/>
      <c r="I83" s="136"/>
      <c r="J83" s="137"/>
      <c r="K83" s="138"/>
    </row>
    <row r="84" spans="2:11" ht="12.75">
      <c r="B84" s="76"/>
      <c r="C84" s="76"/>
      <c r="D84" s="76"/>
      <c r="E84" s="76"/>
      <c r="F84" s="136"/>
      <c r="G84" s="137"/>
      <c r="H84" s="138"/>
      <c r="I84" s="136"/>
      <c r="J84" s="137"/>
      <c r="K84" s="138"/>
    </row>
    <row r="85" spans="2:11" ht="12.75">
      <c r="B85" s="76"/>
      <c r="C85" s="76"/>
      <c r="D85" s="76"/>
      <c r="E85" s="76"/>
      <c r="F85" s="136"/>
      <c r="G85" s="137"/>
      <c r="H85" s="138"/>
      <c r="I85" s="136"/>
      <c r="J85" s="137"/>
      <c r="K85" s="138"/>
    </row>
    <row r="86" spans="2:11" ht="12.75">
      <c r="B86" s="76"/>
      <c r="C86" s="76"/>
      <c r="D86" s="76"/>
      <c r="E86" s="76"/>
      <c r="F86" s="136"/>
      <c r="G86" s="137"/>
      <c r="H86" s="138"/>
      <c r="I86" s="136"/>
      <c r="J86" s="137"/>
      <c r="K86" s="138"/>
    </row>
    <row r="87" spans="2:11" ht="12.75">
      <c r="B87" s="76"/>
      <c r="C87" s="76"/>
      <c r="D87" s="76"/>
      <c r="E87" s="76"/>
      <c r="F87" s="136"/>
      <c r="G87" s="137"/>
      <c r="H87" s="138"/>
      <c r="I87" s="136"/>
      <c r="J87" s="137"/>
      <c r="K87" s="138"/>
    </row>
    <row r="88" spans="2:11" ht="12.75">
      <c r="B88" s="76"/>
      <c r="C88" s="76"/>
      <c r="D88" s="76"/>
      <c r="E88" s="76"/>
      <c r="F88" s="136"/>
      <c r="G88" s="137"/>
      <c r="H88" s="138"/>
      <c r="I88" s="136"/>
      <c r="J88" s="137"/>
      <c r="K88" s="138"/>
    </row>
    <row r="89" spans="2:11" ht="12.75">
      <c r="B89" s="76"/>
      <c r="C89" s="76"/>
      <c r="D89" s="76"/>
      <c r="E89" s="76"/>
      <c r="F89" s="136"/>
      <c r="G89" s="137"/>
      <c r="H89" s="138"/>
      <c r="I89" s="136"/>
      <c r="J89" s="137"/>
      <c r="K89" s="138"/>
    </row>
    <row r="90" spans="2:11" ht="12.75">
      <c r="B90" s="76"/>
      <c r="C90" s="76"/>
      <c r="D90" s="76"/>
      <c r="E90" s="76"/>
      <c r="F90" s="136"/>
      <c r="G90" s="137"/>
      <c r="H90" s="138"/>
      <c r="I90" s="136"/>
      <c r="J90" s="137"/>
      <c r="K90" s="138"/>
    </row>
    <row r="91" spans="2:11" ht="12.75">
      <c r="B91" s="76"/>
      <c r="C91" s="76"/>
      <c r="D91" s="76"/>
      <c r="E91" s="76"/>
      <c r="F91" s="136"/>
      <c r="G91" s="137"/>
      <c r="H91" s="138"/>
      <c r="I91" s="136"/>
      <c r="J91" s="137"/>
      <c r="K91" s="138"/>
    </row>
    <row r="92" spans="2:11" ht="12.75">
      <c r="B92" s="76"/>
      <c r="C92" s="76"/>
      <c r="D92" s="76"/>
      <c r="E92" s="76"/>
      <c r="F92" s="136"/>
      <c r="G92" s="137"/>
      <c r="H92" s="138"/>
      <c r="I92" s="136"/>
      <c r="J92" s="137"/>
      <c r="K92" s="138"/>
    </row>
    <row r="93" spans="2:11" ht="12.75">
      <c r="B93" s="76"/>
      <c r="C93" s="76"/>
      <c r="D93" s="76"/>
      <c r="E93" s="76"/>
      <c r="F93" s="136"/>
      <c r="G93" s="137"/>
      <c r="H93" s="138"/>
      <c r="I93" s="136"/>
      <c r="J93" s="137"/>
      <c r="K93" s="138"/>
    </row>
    <row r="94" spans="2:11" ht="12.75">
      <c r="B94" s="76"/>
      <c r="C94" s="76"/>
      <c r="D94" s="76"/>
      <c r="E94" s="76"/>
      <c r="F94" s="136"/>
      <c r="G94" s="137"/>
      <c r="H94" s="138"/>
      <c r="I94" s="136"/>
      <c r="J94" s="137"/>
      <c r="K94" s="138"/>
    </row>
  </sheetData>
  <mergeCells count="4">
    <mergeCell ref="F1:G1"/>
    <mergeCell ref="I1:J1"/>
    <mergeCell ref="F3:G3"/>
    <mergeCell ref="I3:J3"/>
  </mergeCells>
  <printOptions/>
  <pageMargins left="0.75" right="0.75" top="1" bottom="1" header="0" footer="0"/>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17"/>
  </sheetPr>
  <dimension ref="B1:L107"/>
  <sheetViews>
    <sheetView workbookViewId="0" topLeftCell="A1">
      <selection activeCell="D16" sqref="D16"/>
    </sheetView>
  </sheetViews>
  <sheetFormatPr defaultColWidth="11.421875" defaultRowHeight="12.75"/>
  <cols>
    <col min="1" max="1" width="2.8515625" style="76" customWidth="1"/>
    <col min="2" max="2" width="32.140625" style="0" customWidth="1"/>
    <col min="3" max="3" width="5.8515625" style="0" customWidth="1"/>
    <col min="4" max="4" width="16.00390625" style="0" customWidth="1"/>
    <col min="5" max="5" width="6.57421875" style="0" customWidth="1"/>
    <col min="6" max="6" width="11.421875" style="9" customWidth="1"/>
    <col min="7" max="7" width="20.00390625" style="132" customWidth="1"/>
    <col min="8" max="8" width="6.00390625" style="167" customWidth="1"/>
    <col min="9" max="9" width="11.421875" style="9" customWidth="1"/>
    <col min="10" max="10" width="18.421875" style="132" customWidth="1"/>
    <col min="11" max="11" width="5.8515625" style="167" customWidth="1"/>
    <col min="12" max="12" width="5.8515625" style="76" customWidth="1"/>
    <col min="13" max="13" width="11.421875" style="76" customWidth="1"/>
  </cols>
  <sheetData>
    <row r="1" spans="2:11" ht="13.5" thickBot="1">
      <c r="B1" s="76"/>
      <c r="C1" s="76"/>
      <c r="D1" s="76"/>
      <c r="E1" s="76"/>
      <c r="F1" s="793"/>
      <c r="G1" s="794"/>
      <c r="H1" s="149"/>
      <c r="I1" s="793"/>
      <c r="J1" s="794"/>
      <c r="K1" s="149"/>
    </row>
    <row r="2" spans="2:11" ht="13.5" thickBot="1">
      <c r="B2" s="136"/>
      <c r="C2" s="77"/>
      <c r="D2" s="77"/>
      <c r="E2" s="77"/>
      <c r="F2" s="136"/>
      <c r="G2" s="187"/>
      <c r="H2" s="136"/>
      <c r="I2" s="136"/>
      <c r="J2" s="187"/>
      <c r="K2" s="138"/>
    </row>
    <row r="3" spans="2:11" ht="18.75" thickBot="1">
      <c r="B3" s="161" t="s">
        <v>318</v>
      </c>
      <c r="C3" s="277"/>
      <c r="D3" s="177"/>
      <c r="E3" s="177"/>
      <c r="F3" s="795" t="s">
        <v>195</v>
      </c>
      <c r="G3" s="796"/>
      <c r="H3" s="181" t="s">
        <v>256</v>
      </c>
      <c r="I3" s="797" t="s">
        <v>197</v>
      </c>
      <c r="J3" s="798"/>
      <c r="K3" s="181" t="s">
        <v>256</v>
      </c>
    </row>
    <row r="4" spans="2:11" ht="16.5" thickBot="1">
      <c r="B4" s="169" t="s">
        <v>319</v>
      </c>
      <c r="C4" s="278"/>
      <c r="D4" s="4"/>
      <c r="E4" s="4"/>
      <c r="F4" s="11"/>
      <c r="G4" s="4"/>
      <c r="H4" s="224"/>
      <c r="I4" s="11"/>
      <c r="J4" s="4"/>
      <c r="K4" s="224"/>
    </row>
    <row r="5" spans="2:11" ht="13.5" thickBot="1">
      <c r="B5" s="9"/>
      <c r="C5" s="6"/>
      <c r="D5" s="6"/>
      <c r="E5" s="280" t="s">
        <v>256</v>
      </c>
      <c r="F5" s="178" t="s">
        <v>258</v>
      </c>
      <c r="G5" s="6"/>
      <c r="H5" s="286">
        <f>(E7*5)-H6</f>
        <v>0</v>
      </c>
      <c r="I5" s="9" t="s">
        <v>565</v>
      </c>
      <c r="J5" s="6"/>
      <c r="K5" s="286">
        <f>(E7*5)-(E6*1)</f>
        <v>0</v>
      </c>
    </row>
    <row r="6" spans="2:11" ht="13.5" thickBot="1">
      <c r="B6" s="9"/>
      <c r="C6" s="275" t="s">
        <v>463</v>
      </c>
      <c r="D6" s="6"/>
      <c r="E6" s="331"/>
      <c r="F6" s="178" t="s">
        <v>274</v>
      </c>
      <c r="G6" s="16"/>
      <c r="H6" s="244">
        <v>0</v>
      </c>
      <c r="I6" s="178" t="s">
        <v>563</v>
      </c>
      <c r="J6" s="6"/>
      <c r="K6" s="286">
        <f>(1*E6)-(K7+K8+K9+K10+K11)</f>
        <v>0</v>
      </c>
    </row>
    <row r="7" spans="2:11" ht="13.5" thickBot="1">
      <c r="B7" s="9"/>
      <c r="C7" s="276" t="s">
        <v>464</v>
      </c>
      <c r="D7" s="6"/>
      <c r="E7" s="332"/>
      <c r="F7" s="178"/>
      <c r="G7" s="16"/>
      <c r="H7" s="286"/>
      <c r="I7" s="322" t="s">
        <v>564</v>
      </c>
      <c r="J7" s="6"/>
      <c r="K7" s="246"/>
    </row>
    <row r="8" spans="2:11" ht="12.75">
      <c r="B8" s="9"/>
      <c r="C8" s="6"/>
      <c r="D8" s="6"/>
      <c r="E8" s="6"/>
      <c r="F8" s="178"/>
      <c r="G8" s="16"/>
      <c r="H8" s="163"/>
      <c r="I8" s="178" t="s">
        <v>266</v>
      </c>
      <c r="J8" s="6"/>
      <c r="K8" s="285"/>
    </row>
    <row r="9" spans="2:11" ht="12.75">
      <c r="B9" s="9"/>
      <c r="C9" s="6"/>
      <c r="D9" s="6"/>
      <c r="E9" s="6"/>
      <c r="F9" s="208"/>
      <c r="G9" s="16"/>
      <c r="H9" s="163"/>
      <c r="I9" s="9" t="s">
        <v>345</v>
      </c>
      <c r="J9" s="6"/>
      <c r="K9" s="285"/>
    </row>
    <row r="10" spans="2:11" ht="12.75">
      <c r="B10" s="9"/>
      <c r="C10" s="6"/>
      <c r="D10" s="6"/>
      <c r="E10" s="6"/>
      <c r="F10" s="208"/>
      <c r="G10" s="16"/>
      <c r="H10" s="163"/>
      <c r="I10" s="178" t="s">
        <v>267</v>
      </c>
      <c r="J10" s="6"/>
      <c r="K10" s="285"/>
    </row>
    <row r="11" spans="2:11" ht="13.5" thickBot="1">
      <c r="B11" s="9"/>
      <c r="C11" s="6"/>
      <c r="D11" s="6"/>
      <c r="E11" s="6"/>
      <c r="F11" s="208"/>
      <c r="G11" s="16"/>
      <c r="H11" s="163"/>
      <c r="I11" s="178" t="s">
        <v>346</v>
      </c>
      <c r="J11" s="6"/>
      <c r="K11" s="323"/>
    </row>
    <row r="12" spans="2:11" ht="13.5" thickBot="1">
      <c r="B12" s="9"/>
      <c r="C12" s="6"/>
      <c r="D12" s="6"/>
      <c r="E12" s="6"/>
      <c r="F12" s="208"/>
      <c r="G12" s="16"/>
      <c r="H12" s="163"/>
      <c r="I12" s="208"/>
      <c r="J12" s="16"/>
      <c r="K12" s="286"/>
    </row>
    <row r="13" spans="2:11" ht="13.5" thickBot="1">
      <c r="B13" s="9"/>
      <c r="C13" s="6"/>
      <c r="D13" s="6"/>
      <c r="E13" s="6"/>
      <c r="F13" s="259"/>
      <c r="G13" s="234"/>
      <c r="H13" s="231"/>
      <c r="I13" s="179" t="s">
        <v>466</v>
      </c>
      <c r="J13" s="134"/>
      <c r="K13" s="244"/>
    </row>
    <row r="14" spans="2:11" ht="7.5" customHeight="1" thickBot="1">
      <c r="B14" s="190"/>
      <c r="C14" s="193"/>
      <c r="D14" s="193"/>
      <c r="E14" s="193"/>
      <c r="F14" s="194"/>
      <c r="G14" s="193"/>
      <c r="H14" s="260"/>
      <c r="I14" s="196"/>
      <c r="J14" s="193"/>
      <c r="K14" s="260"/>
    </row>
    <row r="15" spans="2:12" ht="16.5" thickBot="1">
      <c r="B15" s="169" t="s">
        <v>320</v>
      </c>
      <c r="C15" s="278"/>
      <c r="D15" s="4"/>
      <c r="E15" s="4"/>
      <c r="F15" s="11"/>
      <c r="G15" s="4"/>
      <c r="H15" s="224"/>
      <c r="I15" s="11"/>
      <c r="J15" s="4"/>
      <c r="K15" s="273" t="s">
        <v>216</v>
      </c>
      <c r="L15" s="272" t="s">
        <v>217</v>
      </c>
    </row>
    <row r="16" spans="2:12" ht="13.5" thickBot="1">
      <c r="B16" s="9"/>
      <c r="C16" s="6"/>
      <c r="D16" s="6"/>
      <c r="E16" s="6"/>
      <c r="F16" s="178" t="s">
        <v>321</v>
      </c>
      <c r="G16" s="6"/>
      <c r="H16" s="286">
        <f>(E21*3)-SUM(H17:H21)</f>
        <v>0</v>
      </c>
      <c r="I16" s="9" t="s">
        <v>574</v>
      </c>
      <c r="J16" s="6"/>
      <c r="K16" s="30">
        <f>(E21*3)-SUM(K17:K22)-SUM(L16:L22)+(2*E22)</f>
        <v>0</v>
      </c>
      <c r="L16" s="246"/>
    </row>
    <row r="17" spans="2:12" ht="13.5" thickBot="1">
      <c r="B17" s="7" t="s">
        <v>461</v>
      </c>
      <c r="C17" s="7"/>
      <c r="D17" s="6"/>
      <c r="E17" s="6"/>
      <c r="F17" s="178" t="s">
        <v>397</v>
      </c>
      <c r="G17" s="6"/>
      <c r="H17" s="246"/>
      <c r="I17" s="178" t="s">
        <v>575</v>
      </c>
      <c r="J17" s="6"/>
      <c r="K17" s="30">
        <f>(E20*1)-SUM(K18:K22)-SUM(L17:L22)</f>
        <v>0</v>
      </c>
      <c r="L17" s="285"/>
    </row>
    <row r="18" spans="2:12" ht="13.5" thickBot="1">
      <c r="B18" s="228" t="s">
        <v>462</v>
      </c>
      <c r="C18" s="228"/>
      <c r="D18" s="6"/>
      <c r="E18" s="6"/>
      <c r="F18" s="178" t="s">
        <v>398</v>
      </c>
      <c r="G18" s="6"/>
      <c r="H18" s="285"/>
      <c r="I18" s="363" t="s">
        <v>344</v>
      </c>
      <c r="J18" s="6"/>
      <c r="K18" s="246"/>
      <c r="L18" s="285"/>
    </row>
    <row r="19" spans="3:12" ht="13.5" thickBot="1">
      <c r="C19" s="6"/>
      <c r="D19" s="6"/>
      <c r="E19" s="181" t="s">
        <v>256</v>
      </c>
      <c r="F19" s="178" t="s">
        <v>399</v>
      </c>
      <c r="G19" s="6"/>
      <c r="H19" s="285"/>
      <c r="I19" s="178" t="s">
        <v>266</v>
      </c>
      <c r="J19" s="6"/>
      <c r="K19" s="285"/>
      <c r="L19" s="285"/>
    </row>
    <row r="20" spans="2:12" ht="13.5" thickBot="1">
      <c r="B20" s="9"/>
      <c r="C20" s="275" t="s">
        <v>465</v>
      </c>
      <c r="D20" s="6"/>
      <c r="E20" s="283"/>
      <c r="F20" s="178" t="s">
        <v>400</v>
      </c>
      <c r="G20" s="6"/>
      <c r="H20" s="285"/>
      <c r="I20" s="9" t="s">
        <v>345</v>
      </c>
      <c r="J20" s="6"/>
      <c r="K20" s="285"/>
      <c r="L20" s="285"/>
    </row>
    <row r="21" spans="2:12" ht="13.5" thickBot="1">
      <c r="B21" s="9"/>
      <c r="C21" s="276" t="s">
        <v>464</v>
      </c>
      <c r="D21" s="6"/>
      <c r="E21" s="284"/>
      <c r="F21" s="9" t="s">
        <v>401</v>
      </c>
      <c r="G21" s="6"/>
      <c r="H21" s="323"/>
      <c r="I21" s="178" t="s">
        <v>267</v>
      </c>
      <c r="J21" s="6"/>
      <c r="K21" s="285"/>
      <c r="L21" s="285"/>
    </row>
    <row r="22" spans="2:12" ht="13.5" thickBot="1">
      <c r="B22" s="9"/>
      <c r="C22" s="275" t="s">
        <v>572</v>
      </c>
      <c r="D22" s="6"/>
      <c r="E22" s="284"/>
      <c r="F22" s="178" t="s">
        <v>402</v>
      </c>
      <c r="G22" s="6"/>
      <c r="H22" s="286">
        <f>E22-H23</f>
        <v>0</v>
      </c>
      <c r="I22" s="178" t="s">
        <v>346</v>
      </c>
      <c r="J22" s="6"/>
      <c r="K22" s="323"/>
      <c r="L22" s="323"/>
    </row>
    <row r="23" spans="2:12" ht="13.5" thickBot="1">
      <c r="B23" s="9"/>
      <c r="C23" s="275" t="s">
        <v>573</v>
      </c>
      <c r="D23" s="6"/>
      <c r="E23" s="284"/>
      <c r="F23" s="9" t="s">
        <v>403</v>
      </c>
      <c r="G23" s="6"/>
      <c r="H23" s="244"/>
      <c r="J23" s="6"/>
      <c r="K23" s="16"/>
      <c r="L23" s="163"/>
    </row>
    <row r="24" spans="2:12" ht="13.5" thickBot="1">
      <c r="B24" s="133"/>
      <c r="C24" s="134"/>
      <c r="D24" s="134"/>
      <c r="E24" s="134"/>
      <c r="F24" s="344" t="s">
        <v>404</v>
      </c>
      <c r="G24" s="345"/>
      <c r="H24" s="346">
        <f>E23</f>
        <v>0</v>
      </c>
      <c r="I24" s="133"/>
      <c r="J24" s="134"/>
      <c r="K24" s="234"/>
      <c r="L24" s="231"/>
    </row>
    <row r="25" spans="2:11" ht="7.5" customHeight="1" thickBot="1">
      <c r="B25" s="136"/>
      <c r="C25" s="77"/>
      <c r="D25" s="77"/>
      <c r="E25" s="77"/>
      <c r="F25" s="197"/>
      <c r="G25" s="77"/>
      <c r="H25" s="138"/>
      <c r="I25" s="77"/>
      <c r="J25" s="77"/>
      <c r="K25" s="138"/>
    </row>
    <row r="26" spans="2:11" ht="15.75">
      <c r="B26" s="169" t="s">
        <v>322</v>
      </c>
      <c r="C26" s="278"/>
      <c r="D26" s="4"/>
      <c r="E26" s="4"/>
      <c r="F26" s="11"/>
      <c r="G26" s="4"/>
      <c r="H26" s="224"/>
      <c r="I26" s="77"/>
      <c r="J26" s="137"/>
      <c r="K26" s="138"/>
    </row>
    <row r="27" spans="2:11" ht="13.5" thickBot="1">
      <c r="B27" s="9"/>
      <c r="C27" s="6"/>
      <c r="D27" s="6"/>
      <c r="E27" s="6"/>
      <c r="F27" s="215" t="s">
        <v>295</v>
      </c>
      <c r="G27" s="6"/>
      <c r="H27" s="285"/>
      <c r="I27" s="199"/>
      <c r="J27" s="77"/>
      <c r="K27" s="203"/>
    </row>
    <row r="28" spans="2:11" ht="13.5" thickBot="1">
      <c r="B28" s="9"/>
      <c r="C28" s="6"/>
      <c r="D28" s="6"/>
      <c r="E28" s="181" t="s">
        <v>256</v>
      </c>
      <c r="F28" s="215" t="s">
        <v>405</v>
      </c>
      <c r="G28" s="6"/>
      <c r="H28" s="285"/>
      <c r="I28" s="200"/>
      <c r="J28" s="77"/>
      <c r="K28" s="203"/>
    </row>
    <row r="29" spans="2:11" ht="13.5" thickBot="1">
      <c r="B29" s="9"/>
      <c r="C29" s="275" t="s">
        <v>465</v>
      </c>
      <c r="D29" s="6"/>
      <c r="E29" s="281"/>
      <c r="F29" s="216" t="s">
        <v>407</v>
      </c>
      <c r="G29" s="6"/>
      <c r="H29" s="285"/>
      <c r="I29" s="200"/>
      <c r="J29" s="77"/>
      <c r="K29" s="203"/>
    </row>
    <row r="30" spans="2:11" ht="13.5" thickBot="1">
      <c r="B30" s="9"/>
      <c r="F30" s="216" t="s">
        <v>409</v>
      </c>
      <c r="G30" s="6"/>
      <c r="H30" s="324"/>
      <c r="I30" s="77"/>
      <c r="J30" s="77"/>
      <c r="K30" s="203"/>
    </row>
    <row r="31" spans="2:11" ht="12.75">
      <c r="B31" s="9"/>
      <c r="C31" s="6"/>
      <c r="D31" s="6"/>
      <c r="E31" s="6"/>
      <c r="F31" s="215" t="s">
        <v>309</v>
      </c>
      <c r="G31" s="6"/>
      <c r="H31" s="246"/>
      <c r="I31" s="77"/>
      <c r="J31" s="77"/>
      <c r="K31" s="207"/>
    </row>
    <row r="32" spans="2:11" ht="12.75">
      <c r="B32" s="9"/>
      <c r="C32" s="6"/>
      <c r="D32" s="6"/>
      <c r="E32" s="6"/>
      <c r="F32" s="215" t="s">
        <v>406</v>
      </c>
      <c r="G32" s="6"/>
      <c r="H32" s="285"/>
      <c r="I32" s="77"/>
      <c r="J32" s="77"/>
      <c r="K32" s="138"/>
    </row>
    <row r="33" spans="2:11" ht="12.75">
      <c r="B33" s="9"/>
      <c r="C33" s="6"/>
      <c r="D33" s="6"/>
      <c r="E33" s="6"/>
      <c r="F33" s="216" t="s">
        <v>408</v>
      </c>
      <c r="G33" s="6"/>
      <c r="H33" s="324"/>
      <c r="I33" s="77"/>
      <c r="J33" s="77"/>
      <c r="K33" s="138"/>
    </row>
    <row r="34" spans="2:11" ht="13.5" thickBot="1">
      <c r="B34" s="9"/>
      <c r="C34" s="6"/>
      <c r="D34" s="6"/>
      <c r="E34" s="6"/>
      <c r="F34" s="261" t="s">
        <v>410</v>
      </c>
      <c r="G34" s="134"/>
      <c r="H34" s="323"/>
      <c r="I34" s="77"/>
      <c r="J34" s="77"/>
      <c r="K34" s="138"/>
    </row>
    <row r="35" spans="2:11" ht="13.5" thickBot="1">
      <c r="B35" s="144"/>
      <c r="C35" s="205"/>
      <c r="D35" s="205"/>
      <c r="E35" s="205"/>
      <c r="F35" s="198"/>
      <c r="G35" s="205"/>
      <c r="H35" s="145"/>
      <c r="I35" s="205"/>
      <c r="J35" s="205"/>
      <c r="K35" s="145"/>
    </row>
    <row r="36" spans="2:11" ht="7.5" customHeight="1" thickBot="1">
      <c r="B36" s="136"/>
      <c r="C36" s="77"/>
      <c r="D36" s="77"/>
      <c r="E36" s="77"/>
      <c r="F36" s="197"/>
      <c r="G36" s="77"/>
      <c r="H36" s="136"/>
      <c r="I36" s="77"/>
      <c r="J36" s="77"/>
      <c r="K36" s="138"/>
    </row>
    <row r="37" spans="2:11" ht="15.75">
      <c r="B37" s="201"/>
      <c r="C37" s="279"/>
      <c r="D37" s="140"/>
      <c r="E37" s="140"/>
      <c r="F37" s="141"/>
      <c r="G37" s="137" t="s">
        <v>166</v>
      </c>
      <c r="H37" s="141">
        <f>(E7*5)+(E21*3)+E22+E23+SUM(H27:H34)</f>
        <v>0</v>
      </c>
      <c r="I37" s="141"/>
      <c r="J37" s="140"/>
      <c r="K37" s="143"/>
    </row>
    <row r="38" spans="2:11" ht="12.75">
      <c r="B38" s="136"/>
      <c r="C38" s="77"/>
      <c r="D38" s="77"/>
      <c r="E38" s="77"/>
      <c r="F38" s="197"/>
      <c r="G38" s="137" t="s">
        <v>469</v>
      </c>
      <c r="H38" s="202">
        <f>E6+E20+H22+H23+H24+E29</f>
        <v>0</v>
      </c>
      <c r="I38" s="197"/>
      <c r="J38" s="77"/>
      <c r="K38" s="203"/>
    </row>
    <row r="39" spans="2:11" ht="12.75">
      <c r="B39" s="136"/>
      <c r="C39" s="77"/>
      <c r="D39" s="77"/>
      <c r="E39" s="77"/>
      <c r="F39" s="197"/>
      <c r="G39" s="137" t="s">
        <v>470</v>
      </c>
      <c r="H39" s="202">
        <f>E7+E21+H22+H23+H24+E29</f>
        <v>0</v>
      </c>
      <c r="I39" s="197"/>
      <c r="J39" s="77"/>
      <c r="K39" s="203"/>
    </row>
    <row r="40" spans="2:11" ht="12.75">
      <c r="B40" s="136"/>
      <c r="C40" s="77"/>
      <c r="D40" s="77"/>
      <c r="E40" s="77"/>
      <c r="F40" s="197"/>
      <c r="G40" s="137" t="s">
        <v>473</v>
      </c>
      <c r="H40" s="137">
        <f>H5+H6</f>
        <v>0</v>
      </c>
      <c r="I40" s="197"/>
      <c r="J40" s="77"/>
      <c r="K40" s="203"/>
    </row>
    <row r="41" spans="2:11" ht="12.75">
      <c r="B41" s="136"/>
      <c r="C41" s="77"/>
      <c r="D41" s="77"/>
      <c r="E41" s="77"/>
      <c r="F41" s="197"/>
      <c r="G41" s="137" t="s">
        <v>474</v>
      </c>
      <c r="H41" s="137">
        <f>SUM(H16:H21)+(SUM(H22:H23)*1.5)</f>
        <v>0</v>
      </c>
      <c r="I41" s="197"/>
      <c r="J41" s="77"/>
      <c r="K41" s="203"/>
    </row>
    <row r="42" spans="2:11" ht="12.75">
      <c r="B42" s="136"/>
      <c r="C42" s="77"/>
      <c r="D42" s="77"/>
      <c r="E42" s="77"/>
      <c r="F42" s="197"/>
      <c r="G42" s="137" t="s">
        <v>478</v>
      </c>
      <c r="H42" s="138">
        <f>K13</f>
        <v>0</v>
      </c>
      <c r="I42" s="197"/>
      <c r="J42" s="77"/>
      <c r="K42" s="203"/>
    </row>
    <row r="43" spans="2:11" ht="12.75">
      <c r="B43" s="136"/>
      <c r="C43" s="77"/>
      <c r="D43" s="77"/>
      <c r="E43" s="77"/>
      <c r="F43" s="197"/>
      <c r="G43" s="137" t="s">
        <v>479</v>
      </c>
      <c r="H43" s="202">
        <f>H5+H6-K13+SUM(H16:H21)+(SUM(H22:H23)*1.5)</f>
        <v>0</v>
      </c>
      <c r="I43" s="197"/>
      <c r="J43" s="77"/>
      <c r="K43" s="203"/>
    </row>
    <row r="44" spans="2:11" ht="12.75">
      <c r="B44" s="136"/>
      <c r="C44" s="77"/>
      <c r="D44" s="77"/>
      <c r="E44" s="77"/>
      <c r="F44" s="136"/>
      <c r="G44" s="137" t="s">
        <v>482</v>
      </c>
      <c r="H44" s="202">
        <f>H5+H6+SUM(H16:H21)+(SUM(H22:H23)*1.5)</f>
        <v>0</v>
      </c>
      <c r="I44" s="197"/>
      <c r="J44" s="77"/>
      <c r="K44" s="203"/>
    </row>
    <row r="45" spans="2:11" ht="12.75">
      <c r="B45" s="136"/>
      <c r="C45" s="77"/>
      <c r="D45" s="77"/>
      <c r="E45" s="77"/>
      <c r="F45" s="136"/>
      <c r="G45" s="137" t="s">
        <v>24</v>
      </c>
      <c r="H45" s="202">
        <f>H5+H6+H16+H17+H18+H19+H20+H21+(H22*1.5)+(H23*1.5)</f>
        <v>0</v>
      </c>
      <c r="I45" s="136"/>
      <c r="J45" s="77"/>
      <c r="K45" s="138"/>
    </row>
    <row r="46" spans="2:11" ht="12.75">
      <c r="B46" s="136"/>
      <c r="C46" s="77"/>
      <c r="D46" s="77"/>
      <c r="E46" s="77"/>
      <c r="F46" s="136"/>
      <c r="G46" s="77"/>
      <c r="H46" s="202"/>
      <c r="I46" s="136"/>
      <c r="J46" s="77"/>
      <c r="K46" s="138"/>
    </row>
    <row r="47" spans="2:11" ht="12.75">
      <c r="B47" s="136"/>
      <c r="C47" s="77"/>
      <c r="D47" s="77"/>
      <c r="E47" s="77"/>
      <c r="F47" s="136"/>
      <c r="G47" s="77"/>
      <c r="H47" s="202"/>
      <c r="I47" s="136"/>
      <c r="J47" s="77"/>
      <c r="K47" s="138"/>
    </row>
    <row r="48" spans="2:11" ht="12.75">
      <c r="B48" s="136"/>
      <c r="C48" s="77"/>
      <c r="D48" s="77"/>
      <c r="E48" s="77"/>
      <c r="F48" s="136"/>
      <c r="G48" s="77"/>
      <c r="H48" s="202"/>
      <c r="I48" s="136"/>
      <c r="J48" s="77"/>
      <c r="K48" s="138"/>
    </row>
    <row r="49" spans="2:11" ht="12.75">
      <c r="B49" s="136"/>
      <c r="C49" s="77"/>
      <c r="D49" s="77"/>
      <c r="E49" s="77"/>
      <c r="F49" s="136"/>
      <c r="G49" s="77"/>
      <c r="H49" s="202"/>
      <c r="I49" s="136"/>
      <c r="J49" s="77"/>
      <c r="K49" s="138"/>
    </row>
    <row r="50" spans="2:11" ht="12.75">
      <c r="B50" s="136"/>
      <c r="C50" s="77"/>
      <c r="D50" s="77"/>
      <c r="E50" s="77"/>
      <c r="F50" s="197"/>
      <c r="G50" s="77"/>
      <c r="H50" s="202"/>
      <c r="I50" s="136"/>
      <c r="J50" s="77"/>
      <c r="K50" s="138"/>
    </row>
    <row r="51" spans="2:11" ht="12.75">
      <c r="B51" s="136"/>
      <c r="C51" s="77"/>
      <c r="D51" s="77"/>
      <c r="E51" s="77"/>
      <c r="F51" s="197"/>
      <c r="G51" s="77"/>
      <c r="H51" s="204"/>
      <c r="I51" s="136"/>
      <c r="J51" s="77"/>
      <c r="K51" s="138"/>
    </row>
    <row r="52" spans="2:11" ht="13.5" thickBot="1">
      <c r="B52" s="144"/>
      <c r="C52" s="205"/>
      <c r="D52" s="205"/>
      <c r="E52" s="205"/>
      <c r="F52" s="198"/>
      <c r="G52" s="205"/>
      <c r="H52" s="206"/>
      <c r="I52" s="144"/>
      <c r="J52" s="205"/>
      <c r="K52" s="145"/>
    </row>
    <row r="53" spans="2:11" ht="6" customHeight="1">
      <c r="B53" s="77"/>
      <c r="C53" s="77"/>
      <c r="D53" s="77"/>
      <c r="E53" s="77"/>
      <c r="F53" s="197"/>
      <c r="G53" s="77"/>
      <c r="H53" s="136"/>
      <c r="I53" s="136"/>
      <c r="J53" s="77"/>
      <c r="K53" s="138"/>
    </row>
    <row r="54" spans="2:11" ht="15.75">
      <c r="B54" s="112"/>
      <c r="C54" s="112"/>
      <c r="D54" s="76"/>
      <c r="E54" s="76"/>
      <c r="F54" s="136"/>
      <c r="G54" s="137"/>
      <c r="H54" s="138"/>
      <c r="I54" s="136"/>
      <c r="J54" s="137"/>
      <c r="K54" s="138"/>
    </row>
    <row r="55" spans="2:11" ht="12.75">
      <c r="B55" s="76"/>
      <c r="C55" s="76"/>
      <c r="D55" s="76"/>
      <c r="E55" s="76"/>
      <c r="F55" s="136"/>
      <c r="G55" s="137"/>
      <c r="H55" s="203"/>
      <c r="I55" s="136"/>
      <c r="J55" s="137"/>
      <c r="K55" s="203"/>
    </row>
    <row r="56" spans="2:11" ht="12.75">
      <c r="B56" s="76"/>
      <c r="C56" s="76"/>
      <c r="D56" s="76"/>
      <c r="E56" s="76"/>
      <c r="F56" s="136"/>
      <c r="G56" s="137"/>
      <c r="H56" s="203"/>
      <c r="I56" s="136"/>
      <c r="J56" s="137"/>
      <c r="K56" s="203"/>
    </row>
    <row r="57" spans="2:11" ht="12.75">
      <c r="B57" s="76"/>
      <c r="C57" s="76"/>
      <c r="D57" s="76"/>
      <c r="E57" s="76"/>
      <c r="F57" s="136"/>
      <c r="G57" s="137"/>
      <c r="H57" s="203"/>
      <c r="I57" s="136"/>
      <c r="J57" s="137"/>
      <c r="K57" s="203"/>
    </row>
    <row r="58" spans="2:11" ht="12.75">
      <c r="B58" s="76"/>
      <c r="C58" s="76"/>
      <c r="D58" s="76"/>
      <c r="E58" s="76"/>
      <c r="F58" s="136"/>
      <c r="G58" s="137"/>
      <c r="H58" s="203"/>
      <c r="I58" s="136"/>
      <c r="J58" s="137"/>
      <c r="K58" s="203"/>
    </row>
    <row r="59" spans="2:11" ht="12.75">
      <c r="B59" s="76"/>
      <c r="C59" s="76"/>
      <c r="D59" s="76"/>
      <c r="E59" s="76"/>
      <c r="F59" s="136"/>
      <c r="G59" s="137"/>
      <c r="H59" s="203"/>
      <c r="I59" s="136"/>
      <c r="J59" s="137"/>
      <c r="K59" s="203"/>
    </row>
    <row r="60" spans="2:11" ht="12.75">
      <c r="B60" s="76"/>
      <c r="C60" s="76"/>
      <c r="D60" s="76"/>
      <c r="E60" s="76"/>
      <c r="F60" s="136"/>
      <c r="G60" s="137"/>
      <c r="H60" s="207"/>
      <c r="I60" s="136"/>
      <c r="J60" s="137"/>
      <c r="K60" s="207"/>
    </row>
    <row r="61" spans="2:11" ht="13.5" thickBot="1">
      <c r="B61" s="76"/>
      <c r="C61" s="76"/>
      <c r="D61" s="76"/>
      <c r="E61" s="76"/>
      <c r="F61" s="136"/>
      <c r="G61" s="137"/>
      <c r="H61" s="191"/>
      <c r="I61" s="136"/>
      <c r="J61" s="137"/>
      <c r="K61" s="191"/>
    </row>
    <row r="62" spans="2:11" ht="12.75">
      <c r="B62" s="76"/>
      <c r="C62" s="76"/>
      <c r="D62" s="76"/>
      <c r="E62" s="76"/>
      <c r="F62" s="136"/>
      <c r="G62" s="137"/>
      <c r="H62" s="138"/>
      <c r="I62" s="136"/>
      <c r="J62" s="137"/>
      <c r="K62" s="138"/>
    </row>
    <row r="63" spans="2:11" ht="12.75">
      <c r="B63" s="76"/>
      <c r="C63" s="76"/>
      <c r="D63" s="76"/>
      <c r="E63" s="76"/>
      <c r="F63" s="136"/>
      <c r="G63" s="137"/>
      <c r="H63" s="138"/>
      <c r="I63" s="136"/>
      <c r="J63" s="137"/>
      <c r="K63" s="138"/>
    </row>
    <row r="64" spans="2:11" ht="12.75">
      <c r="B64" s="76"/>
      <c r="C64" s="76"/>
      <c r="D64" s="76"/>
      <c r="E64" s="76"/>
      <c r="F64" s="136"/>
      <c r="G64" s="137"/>
      <c r="H64" s="138"/>
      <c r="I64" s="136"/>
      <c r="J64" s="137"/>
      <c r="K64" s="138"/>
    </row>
    <row r="65" spans="2:11" ht="12.75">
      <c r="B65" s="76"/>
      <c r="C65" s="76"/>
      <c r="D65" s="76"/>
      <c r="E65" s="76"/>
      <c r="F65" s="136"/>
      <c r="G65" s="137"/>
      <c r="H65" s="138"/>
      <c r="I65" s="136"/>
      <c r="J65" s="137"/>
      <c r="K65" s="138"/>
    </row>
    <row r="66" spans="2:11" ht="12.75">
      <c r="B66" s="76"/>
      <c r="C66" s="76"/>
      <c r="D66" s="76"/>
      <c r="E66" s="76"/>
      <c r="F66" s="136"/>
      <c r="G66" s="137"/>
      <c r="H66" s="138"/>
      <c r="I66" s="136"/>
      <c r="J66" s="137"/>
      <c r="K66" s="138"/>
    </row>
    <row r="67" spans="2:11" ht="12.75">
      <c r="B67" s="76"/>
      <c r="C67" s="76"/>
      <c r="D67" s="76"/>
      <c r="E67" s="76"/>
      <c r="F67" s="136"/>
      <c r="G67" s="137"/>
      <c r="H67" s="138"/>
      <c r="I67" s="136"/>
      <c r="J67" s="137"/>
      <c r="K67" s="138"/>
    </row>
    <row r="68" spans="2:11" ht="12.75">
      <c r="B68" s="76"/>
      <c r="C68" s="76"/>
      <c r="D68" s="76"/>
      <c r="E68" s="76"/>
      <c r="F68" s="136"/>
      <c r="G68" s="137"/>
      <c r="H68" s="138"/>
      <c r="I68" s="136"/>
      <c r="J68" s="137"/>
      <c r="K68" s="138"/>
    </row>
    <row r="69" spans="2:11" ht="12.75">
      <c r="B69" s="76"/>
      <c r="C69" s="76"/>
      <c r="D69" s="76"/>
      <c r="E69" s="76"/>
      <c r="F69" s="136"/>
      <c r="G69" s="137"/>
      <c r="H69" s="138"/>
      <c r="I69" s="136"/>
      <c r="J69" s="137"/>
      <c r="K69" s="138"/>
    </row>
    <row r="70" spans="2:11" ht="12.75">
      <c r="B70" s="76"/>
      <c r="C70" s="76"/>
      <c r="D70" s="76"/>
      <c r="E70" s="76"/>
      <c r="F70" s="136"/>
      <c r="G70" s="137"/>
      <c r="H70" s="138"/>
      <c r="I70" s="136"/>
      <c r="J70" s="137"/>
      <c r="K70" s="138"/>
    </row>
    <row r="71" spans="2:11" ht="12.75">
      <c r="B71" s="76"/>
      <c r="C71" s="76"/>
      <c r="D71" s="76"/>
      <c r="E71" s="76"/>
      <c r="F71" s="136"/>
      <c r="G71" s="137"/>
      <c r="H71" s="138"/>
      <c r="I71" s="136"/>
      <c r="J71" s="137"/>
      <c r="K71" s="138"/>
    </row>
    <row r="72" spans="2:11" ht="12.75">
      <c r="B72" s="76"/>
      <c r="C72" s="76"/>
      <c r="D72" s="76"/>
      <c r="E72" s="76"/>
      <c r="F72" s="136"/>
      <c r="G72" s="137"/>
      <c r="H72" s="138"/>
      <c r="I72" s="136"/>
      <c r="J72" s="137"/>
      <c r="K72" s="138"/>
    </row>
    <row r="73" spans="2:11" ht="12.75">
      <c r="B73" s="76"/>
      <c r="C73" s="76"/>
      <c r="D73" s="76"/>
      <c r="E73" s="76"/>
      <c r="F73" s="136"/>
      <c r="G73" s="137"/>
      <c r="H73" s="138"/>
      <c r="I73" s="136"/>
      <c r="J73" s="137"/>
      <c r="K73" s="138"/>
    </row>
    <row r="74" spans="2:11" ht="12.75">
      <c r="B74" s="76"/>
      <c r="C74" s="76"/>
      <c r="D74" s="76"/>
      <c r="E74" s="76"/>
      <c r="F74" s="136"/>
      <c r="G74" s="137"/>
      <c r="H74" s="138"/>
      <c r="I74" s="136"/>
      <c r="J74" s="137"/>
      <c r="K74" s="138"/>
    </row>
    <row r="75" spans="2:11" ht="12.75">
      <c r="B75" s="76"/>
      <c r="C75" s="76"/>
      <c r="D75" s="76"/>
      <c r="E75" s="76"/>
      <c r="F75" s="136"/>
      <c r="G75" s="137"/>
      <c r="H75" s="138"/>
      <c r="I75" s="136"/>
      <c r="J75" s="137"/>
      <c r="K75" s="138"/>
    </row>
    <row r="76" spans="2:11" ht="12.75">
      <c r="B76" s="76"/>
      <c r="C76" s="76"/>
      <c r="D76" s="76"/>
      <c r="E76" s="76"/>
      <c r="F76" s="136"/>
      <c r="G76" s="137"/>
      <c r="H76" s="138"/>
      <c r="I76" s="136"/>
      <c r="J76" s="137"/>
      <c r="K76" s="138"/>
    </row>
    <row r="77" spans="2:11" ht="12.75">
      <c r="B77" s="76"/>
      <c r="C77" s="76"/>
      <c r="D77" s="76"/>
      <c r="E77" s="76"/>
      <c r="F77" s="136"/>
      <c r="G77" s="137"/>
      <c r="H77" s="138"/>
      <c r="I77" s="136"/>
      <c r="J77" s="137"/>
      <c r="K77" s="138"/>
    </row>
    <row r="78" spans="2:11" ht="12.75">
      <c r="B78" s="76"/>
      <c r="C78" s="76"/>
      <c r="D78" s="76"/>
      <c r="E78" s="76"/>
      <c r="F78" s="136"/>
      <c r="G78" s="137"/>
      <c r="H78" s="138"/>
      <c r="I78" s="136"/>
      <c r="J78" s="137"/>
      <c r="K78" s="138"/>
    </row>
    <row r="79" spans="2:11" ht="12.75">
      <c r="B79" s="76"/>
      <c r="C79" s="76"/>
      <c r="D79" s="76"/>
      <c r="E79" s="76"/>
      <c r="F79" s="136"/>
      <c r="G79" s="137"/>
      <c r="H79" s="138"/>
      <c r="I79" s="136"/>
      <c r="J79" s="137"/>
      <c r="K79" s="138"/>
    </row>
    <row r="80" spans="2:11" ht="12.75">
      <c r="B80" s="76"/>
      <c r="C80" s="76"/>
      <c r="D80" s="76"/>
      <c r="E80" s="76"/>
      <c r="F80" s="136"/>
      <c r="G80" s="137"/>
      <c r="H80" s="138"/>
      <c r="I80" s="136"/>
      <c r="J80" s="137"/>
      <c r="K80" s="138"/>
    </row>
    <row r="81" spans="2:11" ht="12.75">
      <c r="B81" s="76"/>
      <c r="C81" s="76"/>
      <c r="D81" s="76"/>
      <c r="E81" s="76"/>
      <c r="F81" s="136"/>
      <c r="G81" s="137"/>
      <c r="H81" s="138"/>
      <c r="I81" s="136"/>
      <c r="J81" s="137"/>
      <c r="K81" s="138"/>
    </row>
    <row r="82" spans="2:11" ht="12.75">
      <c r="B82" s="76"/>
      <c r="C82" s="76"/>
      <c r="D82" s="76"/>
      <c r="E82" s="76"/>
      <c r="F82" s="136"/>
      <c r="G82" s="137"/>
      <c r="H82" s="138"/>
      <c r="I82" s="136"/>
      <c r="J82" s="137"/>
      <c r="K82" s="138"/>
    </row>
    <row r="83" spans="2:11" ht="12.75">
      <c r="B83" s="76"/>
      <c r="C83" s="76"/>
      <c r="D83" s="76"/>
      <c r="E83" s="76"/>
      <c r="F83" s="136"/>
      <c r="G83" s="137"/>
      <c r="H83" s="138"/>
      <c r="I83" s="136"/>
      <c r="J83" s="137"/>
      <c r="K83" s="138"/>
    </row>
    <row r="84" spans="2:11" ht="12.75">
      <c r="B84" s="76"/>
      <c r="C84" s="76"/>
      <c r="D84" s="76"/>
      <c r="E84" s="76"/>
      <c r="F84" s="136"/>
      <c r="G84" s="137"/>
      <c r="H84" s="138"/>
      <c r="I84" s="136"/>
      <c r="J84" s="137"/>
      <c r="K84" s="138"/>
    </row>
    <row r="85" spans="2:11" ht="12.75">
      <c r="B85" s="76"/>
      <c r="C85" s="76"/>
      <c r="D85" s="76"/>
      <c r="E85" s="76"/>
      <c r="F85" s="136"/>
      <c r="G85" s="137"/>
      <c r="H85" s="138"/>
      <c r="I85" s="136"/>
      <c r="J85" s="137"/>
      <c r="K85" s="138"/>
    </row>
    <row r="86" spans="2:11" ht="12.75">
      <c r="B86" s="76"/>
      <c r="C86" s="76"/>
      <c r="D86" s="76"/>
      <c r="E86" s="76"/>
      <c r="F86" s="136"/>
      <c r="G86" s="137"/>
      <c r="H86" s="138"/>
      <c r="I86" s="136"/>
      <c r="J86" s="137"/>
      <c r="K86" s="138"/>
    </row>
    <row r="87" spans="2:11" ht="12.75">
      <c r="B87" s="76"/>
      <c r="C87" s="76"/>
      <c r="D87" s="76"/>
      <c r="E87" s="76"/>
      <c r="F87" s="136"/>
      <c r="G87" s="137"/>
      <c r="H87" s="138"/>
      <c r="I87" s="136"/>
      <c r="J87" s="137"/>
      <c r="K87" s="138"/>
    </row>
    <row r="88" spans="2:11" ht="12.75">
      <c r="B88" s="76"/>
      <c r="C88" s="76"/>
      <c r="D88" s="76"/>
      <c r="E88" s="76"/>
      <c r="F88" s="136"/>
      <c r="G88" s="137"/>
      <c r="H88" s="138"/>
      <c r="I88" s="136"/>
      <c r="J88" s="137"/>
      <c r="K88" s="138"/>
    </row>
    <row r="89" spans="2:11" ht="12.75">
      <c r="B89" s="76"/>
      <c r="C89" s="76"/>
      <c r="D89" s="76"/>
      <c r="E89" s="76"/>
      <c r="F89" s="136"/>
      <c r="G89" s="137"/>
      <c r="H89" s="138"/>
      <c r="I89" s="136"/>
      <c r="J89" s="137"/>
      <c r="K89" s="138"/>
    </row>
    <row r="90" spans="2:11" ht="12.75">
      <c r="B90" s="76"/>
      <c r="C90" s="76"/>
      <c r="D90" s="76"/>
      <c r="E90" s="76"/>
      <c r="F90" s="136"/>
      <c r="G90" s="137"/>
      <c r="H90" s="138"/>
      <c r="I90" s="136"/>
      <c r="J90" s="137"/>
      <c r="K90" s="138"/>
    </row>
    <row r="91" spans="2:11" ht="12.75">
      <c r="B91" s="76"/>
      <c r="C91" s="76"/>
      <c r="D91" s="76"/>
      <c r="E91" s="76"/>
      <c r="F91" s="136"/>
      <c r="G91" s="137"/>
      <c r="H91" s="138"/>
      <c r="I91" s="136"/>
      <c r="J91" s="137"/>
      <c r="K91" s="138"/>
    </row>
    <row r="92" spans="2:11" ht="12.75">
      <c r="B92" s="76"/>
      <c r="C92" s="76"/>
      <c r="D92" s="76"/>
      <c r="E92" s="76"/>
      <c r="F92" s="136"/>
      <c r="G92" s="137"/>
      <c r="H92" s="138"/>
      <c r="I92" s="136"/>
      <c r="J92" s="137"/>
      <c r="K92" s="138"/>
    </row>
    <row r="93" spans="2:11" ht="12.75">
      <c r="B93" s="76"/>
      <c r="C93" s="76"/>
      <c r="D93" s="76"/>
      <c r="E93" s="76"/>
      <c r="F93" s="136"/>
      <c r="G93" s="137"/>
      <c r="H93" s="138"/>
      <c r="I93" s="136"/>
      <c r="J93" s="137"/>
      <c r="K93" s="138"/>
    </row>
    <row r="94" spans="2:11" ht="12.75">
      <c r="B94" s="76"/>
      <c r="C94" s="76"/>
      <c r="D94" s="76"/>
      <c r="E94" s="76"/>
      <c r="F94" s="136"/>
      <c r="G94" s="137"/>
      <c r="H94" s="138"/>
      <c r="I94" s="136"/>
      <c r="J94" s="137"/>
      <c r="K94" s="138"/>
    </row>
    <row r="95" spans="2:11" ht="12.75">
      <c r="B95" s="76"/>
      <c r="C95" s="76"/>
      <c r="D95" s="76"/>
      <c r="E95" s="76"/>
      <c r="F95" s="136"/>
      <c r="G95" s="137"/>
      <c r="H95" s="138"/>
      <c r="I95" s="136"/>
      <c r="J95" s="137"/>
      <c r="K95" s="138"/>
    </row>
    <row r="96" spans="2:11" ht="12.75">
      <c r="B96" s="76"/>
      <c r="C96" s="76"/>
      <c r="D96" s="76"/>
      <c r="E96" s="76"/>
      <c r="F96" s="136"/>
      <c r="G96" s="137"/>
      <c r="H96" s="138"/>
      <c r="I96" s="136"/>
      <c r="J96" s="137"/>
      <c r="K96" s="138"/>
    </row>
    <row r="97" spans="2:11" ht="12.75">
      <c r="B97" s="76"/>
      <c r="C97" s="76"/>
      <c r="D97" s="76"/>
      <c r="E97" s="76"/>
      <c r="F97" s="136"/>
      <c r="G97" s="137"/>
      <c r="H97" s="138"/>
      <c r="I97" s="136"/>
      <c r="J97" s="137"/>
      <c r="K97" s="138"/>
    </row>
    <row r="98" spans="2:11" ht="12.75">
      <c r="B98" s="76"/>
      <c r="C98" s="76"/>
      <c r="D98" s="76"/>
      <c r="E98" s="76"/>
      <c r="F98" s="136"/>
      <c r="G98" s="137"/>
      <c r="H98" s="138"/>
      <c r="I98" s="136"/>
      <c r="J98" s="137"/>
      <c r="K98" s="138"/>
    </row>
    <row r="99" spans="2:11" ht="12.75">
      <c r="B99" s="76"/>
      <c r="C99" s="76"/>
      <c r="D99" s="76"/>
      <c r="E99" s="76"/>
      <c r="F99" s="136"/>
      <c r="G99" s="137"/>
      <c r="H99" s="138"/>
      <c r="I99" s="136"/>
      <c r="J99" s="137"/>
      <c r="K99" s="138"/>
    </row>
    <row r="100" spans="2:11" ht="12.75">
      <c r="B100" s="76"/>
      <c r="C100" s="76"/>
      <c r="D100" s="76"/>
      <c r="E100" s="76"/>
      <c r="F100" s="136"/>
      <c r="G100" s="137"/>
      <c r="H100" s="138"/>
      <c r="I100" s="136"/>
      <c r="J100" s="137"/>
      <c r="K100" s="138"/>
    </row>
    <row r="101" spans="2:11" ht="12.75">
      <c r="B101" s="76"/>
      <c r="C101" s="76"/>
      <c r="D101" s="76"/>
      <c r="E101" s="76"/>
      <c r="F101" s="136"/>
      <c r="G101" s="137"/>
      <c r="H101" s="138"/>
      <c r="I101" s="136"/>
      <c r="J101" s="137"/>
      <c r="K101" s="138"/>
    </row>
    <row r="102" spans="2:11" ht="12.75">
      <c r="B102" s="76"/>
      <c r="C102" s="76"/>
      <c r="D102" s="76"/>
      <c r="E102" s="76"/>
      <c r="F102" s="136"/>
      <c r="G102" s="137"/>
      <c r="H102" s="138"/>
      <c r="I102" s="136"/>
      <c r="J102" s="137"/>
      <c r="K102" s="138"/>
    </row>
    <row r="103" spans="2:11" ht="12.75">
      <c r="B103" s="76"/>
      <c r="C103" s="76"/>
      <c r="D103" s="76"/>
      <c r="E103" s="76"/>
      <c r="F103" s="136"/>
      <c r="G103" s="137"/>
      <c r="H103" s="138"/>
      <c r="I103" s="136"/>
      <c r="J103" s="137"/>
      <c r="K103" s="138"/>
    </row>
    <row r="104" spans="2:11" ht="12.75">
      <c r="B104" s="76"/>
      <c r="C104" s="76"/>
      <c r="D104" s="76"/>
      <c r="E104" s="76"/>
      <c r="F104" s="136"/>
      <c r="G104" s="137"/>
      <c r="H104" s="138"/>
      <c r="I104" s="136"/>
      <c r="J104" s="137"/>
      <c r="K104" s="138"/>
    </row>
    <row r="105" spans="2:11" ht="12.75">
      <c r="B105" s="76"/>
      <c r="C105" s="76"/>
      <c r="D105" s="76"/>
      <c r="E105" s="76"/>
      <c r="F105" s="136"/>
      <c r="G105" s="137"/>
      <c r="H105" s="138"/>
      <c r="I105" s="136"/>
      <c r="J105" s="137"/>
      <c r="K105" s="138"/>
    </row>
    <row r="106" spans="2:11" ht="12.75">
      <c r="B106" s="76"/>
      <c r="C106" s="76"/>
      <c r="D106" s="76"/>
      <c r="E106" s="76"/>
      <c r="F106" s="136"/>
      <c r="G106" s="137"/>
      <c r="H106" s="138"/>
      <c r="I106" s="136"/>
      <c r="J106" s="137"/>
      <c r="K106" s="138"/>
    </row>
    <row r="107" spans="2:11" ht="12.75">
      <c r="B107" s="76"/>
      <c r="C107" s="76"/>
      <c r="D107" s="76"/>
      <c r="E107" s="76"/>
      <c r="F107" s="136"/>
      <c r="G107" s="137"/>
      <c r="H107" s="138"/>
      <c r="I107" s="136"/>
      <c r="J107" s="137"/>
      <c r="K107" s="138"/>
    </row>
  </sheetData>
  <mergeCells count="4">
    <mergeCell ref="F1:G1"/>
    <mergeCell ref="I1:J1"/>
    <mergeCell ref="F3:G3"/>
    <mergeCell ref="I3:J3"/>
  </mergeCells>
  <printOptions/>
  <pageMargins left="0.75" right="0.75" top="1" bottom="1" header="0" footer="0"/>
  <pageSetup horizontalDpi="200" verticalDpi="200" orientation="portrait" paperSize="9" r:id="rId1"/>
</worksheet>
</file>

<file path=xl/worksheets/sheet23.xml><?xml version="1.0" encoding="utf-8"?>
<worksheet xmlns="http://schemas.openxmlformats.org/spreadsheetml/2006/main" xmlns:r="http://schemas.openxmlformats.org/officeDocument/2006/relationships">
  <sheetPr>
    <tabColor indexed="52"/>
  </sheetPr>
  <dimension ref="B1:L135"/>
  <sheetViews>
    <sheetView workbookViewId="0" topLeftCell="B1">
      <selection activeCell="K15" sqref="K15"/>
    </sheetView>
  </sheetViews>
  <sheetFormatPr defaultColWidth="11.421875" defaultRowHeight="12.75"/>
  <cols>
    <col min="1" max="1" width="2.8515625" style="76" customWidth="1"/>
    <col min="2" max="2" width="25.140625" style="0" customWidth="1"/>
    <col min="3" max="3" width="9.8515625" style="0" customWidth="1"/>
    <col min="4" max="4" width="13.8515625" style="0" customWidth="1"/>
    <col min="6" max="6" width="11.421875" style="9" customWidth="1"/>
    <col min="7" max="7" width="20.00390625" style="132" customWidth="1"/>
    <col min="8" max="8" width="6.00390625" style="167" customWidth="1"/>
    <col min="9" max="9" width="11.421875" style="9" customWidth="1"/>
    <col min="10" max="10" width="18.57421875" style="132" customWidth="1"/>
    <col min="11" max="11" width="5.8515625" style="167" customWidth="1"/>
    <col min="12" max="12" width="5.8515625" style="76" customWidth="1"/>
    <col min="13" max="13" width="11.421875" style="76" customWidth="1"/>
  </cols>
  <sheetData>
    <row r="1" spans="2:11" ht="13.5" thickBot="1">
      <c r="B1" s="76"/>
      <c r="C1" s="76"/>
      <c r="D1" s="76"/>
      <c r="E1" s="76"/>
      <c r="F1" s="793"/>
      <c r="G1" s="794"/>
      <c r="H1" s="149"/>
      <c r="I1" s="793"/>
      <c r="J1" s="794"/>
      <c r="K1" s="149"/>
    </row>
    <row r="2" spans="2:11" ht="13.5" thickBot="1">
      <c r="B2" s="136"/>
      <c r="C2" s="77"/>
      <c r="D2" s="77"/>
      <c r="E2" s="77"/>
      <c r="F2" s="136"/>
      <c r="G2" s="187"/>
      <c r="H2" s="136"/>
      <c r="I2" s="136"/>
      <c r="J2" s="187"/>
      <c r="K2" s="138"/>
    </row>
    <row r="3" spans="2:12" ht="18.75" thickBot="1">
      <c r="B3" s="161" t="s">
        <v>286</v>
      </c>
      <c r="C3" s="277"/>
      <c r="D3" s="177"/>
      <c r="E3" s="177"/>
      <c r="F3" s="795" t="s">
        <v>195</v>
      </c>
      <c r="G3" s="796"/>
      <c r="H3" s="181" t="s">
        <v>256</v>
      </c>
      <c r="I3" s="799" t="s">
        <v>197</v>
      </c>
      <c r="J3" s="800"/>
      <c r="K3" s="181" t="s">
        <v>256</v>
      </c>
      <c r="L3" s="181" t="s">
        <v>256</v>
      </c>
    </row>
    <row r="4" spans="2:12" ht="16.5" thickBot="1">
      <c r="B4" s="169" t="s">
        <v>287</v>
      </c>
      <c r="C4" s="4"/>
      <c r="D4" s="4"/>
      <c r="E4" s="20"/>
      <c r="F4" s="11"/>
      <c r="G4" s="4"/>
      <c r="H4" s="224"/>
      <c r="I4" s="4"/>
      <c r="J4" s="4"/>
      <c r="K4" s="273" t="s">
        <v>216</v>
      </c>
      <c r="L4" s="272" t="s">
        <v>217</v>
      </c>
    </row>
    <row r="5" spans="2:12" ht="16.5" thickBot="1">
      <c r="B5" s="9"/>
      <c r="C5" s="291"/>
      <c r="D5" s="6"/>
      <c r="E5" s="188" t="s">
        <v>256</v>
      </c>
      <c r="F5" s="178" t="s">
        <v>259</v>
      </c>
      <c r="G5" s="6"/>
      <c r="H5" s="286">
        <f>(E6*5)-SUM(H6:H8)-K8-K9-L8-L9</f>
        <v>0</v>
      </c>
      <c r="I5" s="182" t="s">
        <v>266</v>
      </c>
      <c r="J5" s="6"/>
      <c r="K5" s="325"/>
      <c r="L5" s="285"/>
    </row>
    <row r="6" spans="2:12" ht="13.5" thickBot="1">
      <c r="B6" s="5" t="s">
        <v>461</v>
      </c>
      <c r="C6" s="6"/>
      <c r="D6" s="275" t="s">
        <v>463</v>
      </c>
      <c r="E6" s="283"/>
      <c r="F6" s="178" t="s">
        <v>289</v>
      </c>
      <c r="G6" s="6"/>
      <c r="H6" s="246"/>
      <c r="I6" s="182" t="s">
        <v>267</v>
      </c>
      <c r="J6" s="6"/>
      <c r="K6" s="285"/>
      <c r="L6" s="285"/>
    </row>
    <row r="7" spans="2:12" ht="13.5" thickBot="1">
      <c r="B7" s="290" t="s">
        <v>462</v>
      </c>
      <c r="C7" s="6"/>
      <c r="D7" s="6"/>
      <c r="E7" s="132"/>
      <c r="F7" s="178" t="s">
        <v>290</v>
      </c>
      <c r="G7" s="6"/>
      <c r="H7" s="285"/>
      <c r="I7" s="182" t="s">
        <v>291</v>
      </c>
      <c r="J7" s="6"/>
      <c r="K7" s="285"/>
      <c r="L7" s="285"/>
    </row>
    <row r="8" spans="2:12" ht="13.5" thickBot="1">
      <c r="B8" s="9"/>
      <c r="C8" s="22" t="s">
        <v>487</v>
      </c>
      <c r="D8" s="6"/>
      <c r="E8" s="281"/>
      <c r="F8" s="305" t="s">
        <v>366</v>
      </c>
      <c r="G8" s="6"/>
      <c r="H8" s="285"/>
      <c r="I8" s="182" t="s">
        <v>269</v>
      </c>
      <c r="J8" s="6"/>
      <c r="K8" s="285"/>
      <c r="L8" s="285"/>
    </row>
    <row r="9" spans="2:12" ht="13.5" thickBot="1">
      <c r="B9" s="133"/>
      <c r="C9" s="134"/>
      <c r="D9" s="134"/>
      <c r="E9" s="135"/>
      <c r="F9" s="179" t="s">
        <v>288</v>
      </c>
      <c r="G9" s="134"/>
      <c r="H9" s="323"/>
      <c r="I9" s="192" t="s">
        <v>467</v>
      </c>
      <c r="J9" s="6"/>
      <c r="K9" s="285"/>
      <c r="L9" s="285"/>
    </row>
    <row r="10" spans="2:11" ht="7.5" customHeight="1" thickBot="1">
      <c r="B10" s="190"/>
      <c r="C10" s="193"/>
      <c r="D10" s="193"/>
      <c r="E10" s="193"/>
      <c r="F10" s="194"/>
      <c r="G10" s="195"/>
      <c r="H10" s="340"/>
      <c r="I10" s="196"/>
      <c r="J10" s="195"/>
      <c r="K10" s="340"/>
    </row>
    <row r="11" spans="2:11" ht="16.5" thickBot="1">
      <c r="B11" s="169" t="s">
        <v>292</v>
      </c>
      <c r="C11" s="278"/>
      <c r="D11" s="4"/>
      <c r="E11" s="4"/>
      <c r="F11" s="11"/>
      <c r="G11" s="4"/>
      <c r="H11" s="224"/>
      <c r="I11" s="4"/>
      <c r="J11" s="4"/>
      <c r="K11" s="16"/>
    </row>
    <row r="12" spans="2:11" ht="13.5" thickBot="1">
      <c r="B12" s="9"/>
      <c r="C12" s="339" t="s">
        <v>570</v>
      </c>
      <c r="D12" s="7"/>
      <c r="E12" s="338"/>
      <c r="F12" s="178" t="s">
        <v>293</v>
      </c>
      <c r="G12" s="6"/>
      <c r="H12" s="286">
        <f>E12-SUM(H13:H17)</f>
        <v>0</v>
      </c>
      <c r="I12" s="182" t="s">
        <v>300</v>
      </c>
      <c r="J12" s="6"/>
      <c r="K12" s="30">
        <f>H18</f>
        <v>0</v>
      </c>
    </row>
    <row r="13" spans="2:11" ht="12.75">
      <c r="B13" s="9"/>
      <c r="C13" s="6"/>
      <c r="D13" s="6"/>
      <c r="E13" s="6"/>
      <c r="F13" s="178" t="s">
        <v>294</v>
      </c>
      <c r="G13" s="6"/>
      <c r="H13" s="246"/>
      <c r="I13" s="182" t="s">
        <v>267</v>
      </c>
      <c r="J13" s="6"/>
      <c r="K13" s="30">
        <f>E12-H18</f>
        <v>0</v>
      </c>
    </row>
    <row r="14" spans="2:11" ht="13.5" thickBot="1">
      <c r="B14" s="9"/>
      <c r="C14" s="6"/>
      <c r="D14" s="6"/>
      <c r="E14" s="6"/>
      <c r="F14" s="178" t="s">
        <v>295</v>
      </c>
      <c r="G14" s="6"/>
      <c r="H14" s="285"/>
      <c r="I14" s="6"/>
      <c r="J14" s="6"/>
      <c r="K14" s="16"/>
    </row>
    <row r="15" spans="2:11" ht="13.5" thickBot="1">
      <c r="B15" s="9"/>
      <c r="C15" s="6"/>
      <c r="D15" s="6"/>
      <c r="E15" s="6"/>
      <c r="F15" s="9" t="s">
        <v>296</v>
      </c>
      <c r="G15" s="6"/>
      <c r="H15" s="285"/>
      <c r="I15" s="182" t="s">
        <v>472</v>
      </c>
      <c r="J15" s="6"/>
      <c r="K15" s="244"/>
    </row>
    <row r="16" spans="2:11" ht="12.75">
      <c r="B16" s="9"/>
      <c r="C16" s="6"/>
      <c r="D16" s="6"/>
      <c r="E16" s="6"/>
      <c r="F16" s="178" t="s">
        <v>297</v>
      </c>
      <c r="G16" s="6"/>
      <c r="H16" s="285"/>
      <c r="I16" s="6"/>
      <c r="J16" s="6"/>
      <c r="K16" s="16"/>
    </row>
    <row r="17" spans="2:11" ht="12.75">
      <c r="B17" s="9"/>
      <c r="C17" s="6"/>
      <c r="D17" s="6"/>
      <c r="E17" s="6"/>
      <c r="F17" s="178" t="s">
        <v>298</v>
      </c>
      <c r="G17" s="6"/>
      <c r="H17" s="324"/>
      <c r="I17" s="6"/>
      <c r="J17" s="6"/>
      <c r="K17" s="16"/>
    </row>
    <row r="18" spans="2:11" ht="12.75">
      <c r="B18" s="9"/>
      <c r="C18" s="6"/>
      <c r="D18" s="6"/>
      <c r="E18" s="6"/>
      <c r="F18" s="178" t="s">
        <v>299</v>
      </c>
      <c r="G18" s="6"/>
      <c r="H18" s="324"/>
      <c r="I18" s="6"/>
      <c r="J18" s="6"/>
      <c r="K18" s="16"/>
    </row>
    <row r="19" spans="2:11" ht="13.5" thickBot="1">
      <c r="B19" s="9"/>
      <c r="C19" s="6"/>
      <c r="D19" s="6"/>
      <c r="E19" s="6"/>
      <c r="F19" s="178" t="s">
        <v>290</v>
      </c>
      <c r="G19" s="6"/>
      <c r="H19" s="323"/>
      <c r="I19" s="6"/>
      <c r="J19" s="6"/>
      <c r="K19" s="16"/>
    </row>
    <row r="20" spans="2:11" ht="13.5" thickBot="1">
      <c r="B20" s="133"/>
      <c r="C20" s="134"/>
      <c r="D20" s="134"/>
      <c r="E20" s="134"/>
      <c r="F20" s="179" t="s">
        <v>259</v>
      </c>
      <c r="G20" s="134"/>
      <c r="H20" s="341">
        <f>K13-H19</f>
        <v>0</v>
      </c>
      <c r="I20" s="134"/>
      <c r="J20" s="134"/>
      <c r="K20" s="16"/>
    </row>
    <row r="21" spans="2:11" ht="7.5" customHeight="1" thickBot="1">
      <c r="B21" s="136"/>
      <c r="C21" s="77"/>
      <c r="D21" s="77"/>
      <c r="E21" s="77"/>
      <c r="F21" s="197"/>
      <c r="G21" s="77"/>
      <c r="H21" s="138"/>
      <c r="I21" s="77"/>
      <c r="J21" s="77"/>
      <c r="K21" s="138"/>
    </row>
    <row r="22" spans="2:11" ht="16.5" thickBot="1">
      <c r="B22" s="169" t="s">
        <v>301</v>
      </c>
      <c r="C22" s="6"/>
      <c r="D22" s="6"/>
      <c r="E22" s="280" t="s">
        <v>256</v>
      </c>
      <c r="F22" s="11"/>
      <c r="G22" s="4"/>
      <c r="H22" s="224"/>
      <c r="I22" s="6"/>
      <c r="J22" s="6"/>
      <c r="K22" s="16"/>
    </row>
    <row r="23" spans="2:11" ht="13.5" thickBot="1">
      <c r="B23" s="9"/>
      <c r="C23" s="342" t="s">
        <v>571</v>
      </c>
      <c r="D23" s="6"/>
      <c r="E23" s="331"/>
      <c r="F23" s="178" t="s">
        <v>258</v>
      </c>
      <c r="G23" s="6"/>
      <c r="H23" s="286">
        <f>E23-SUM(H24:H28)</f>
        <v>0</v>
      </c>
      <c r="I23" s="192" t="s">
        <v>305</v>
      </c>
      <c r="J23" s="6"/>
      <c r="K23" s="30">
        <f>H25</f>
        <v>0</v>
      </c>
    </row>
    <row r="24" spans="2:11" ht="13.5" thickBot="1">
      <c r="B24" s="9"/>
      <c r="E24" s="3"/>
      <c r="F24" s="178" t="s">
        <v>274</v>
      </c>
      <c r="G24" s="6"/>
      <c r="H24" s="246"/>
      <c r="I24" s="292" t="s">
        <v>556</v>
      </c>
      <c r="J24" s="6"/>
      <c r="K24" s="30">
        <f>H23+H24</f>
        <v>0</v>
      </c>
    </row>
    <row r="25" spans="2:11" ht="13.5" thickBot="1">
      <c r="B25" s="9"/>
      <c r="C25" s="293" t="s">
        <v>488</v>
      </c>
      <c r="E25" s="283"/>
      <c r="F25" s="9" t="s">
        <v>263</v>
      </c>
      <c r="G25" s="6"/>
      <c r="H25" s="285"/>
      <c r="I25" s="182" t="s">
        <v>370</v>
      </c>
      <c r="J25" s="6"/>
      <c r="K25" s="30">
        <f>H28</f>
        <v>0</v>
      </c>
    </row>
    <row r="26" spans="2:11" ht="13.5" thickBot="1">
      <c r="B26" s="9"/>
      <c r="C26" s="6"/>
      <c r="D26" s="6"/>
      <c r="E26" s="19"/>
      <c r="F26" s="178" t="s">
        <v>367</v>
      </c>
      <c r="G26" s="6"/>
      <c r="H26" s="285"/>
      <c r="I26" s="292" t="s">
        <v>557</v>
      </c>
      <c r="J26" s="6"/>
      <c r="K26" s="30">
        <f>H26+H27</f>
        <v>0</v>
      </c>
    </row>
    <row r="27" spans="2:11" ht="13.5" thickBot="1">
      <c r="B27" s="9"/>
      <c r="C27" s="7" t="s">
        <v>489</v>
      </c>
      <c r="D27" s="6"/>
      <c r="E27" s="283"/>
      <c r="F27" s="9" t="s">
        <v>368</v>
      </c>
      <c r="G27" s="6"/>
      <c r="H27" s="285"/>
      <c r="I27" s="6" t="s">
        <v>306</v>
      </c>
      <c r="J27" s="6"/>
      <c r="K27" s="244"/>
    </row>
    <row r="28" spans="2:11" ht="12.75">
      <c r="B28" s="9"/>
      <c r="C28" s="6"/>
      <c r="D28" s="6"/>
      <c r="E28" s="6"/>
      <c r="F28" s="9" t="s">
        <v>369</v>
      </c>
      <c r="G28" s="6"/>
      <c r="H28" s="285"/>
      <c r="I28" s="6"/>
      <c r="J28" s="16"/>
      <c r="K28" s="163"/>
    </row>
    <row r="29" spans="2:11" ht="12.75">
      <c r="B29" s="9"/>
      <c r="C29" s="6"/>
      <c r="D29" s="6"/>
      <c r="E29" s="6"/>
      <c r="F29" s="178" t="s">
        <v>302</v>
      </c>
      <c r="G29" s="6"/>
      <c r="H29" s="285"/>
      <c r="I29" s="6"/>
      <c r="J29" s="16"/>
      <c r="K29" s="163"/>
    </row>
    <row r="30" spans="2:11" ht="12.75">
      <c r="B30" s="9"/>
      <c r="C30" s="6"/>
      <c r="D30" s="6"/>
      <c r="E30" s="6"/>
      <c r="F30" s="178" t="s">
        <v>303</v>
      </c>
      <c r="G30" s="6"/>
      <c r="H30" s="324"/>
      <c r="I30" s="6"/>
      <c r="J30" s="16"/>
      <c r="K30" s="163"/>
    </row>
    <row r="31" spans="2:11" ht="13.5" thickBot="1">
      <c r="B31" s="133"/>
      <c r="C31" s="134"/>
      <c r="D31" s="134"/>
      <c r="E31" s="134"/>
      <c r="F31" s="179" t="s">
        <v>304</v>
      </c>
      <c r="G31" s="134"/>
      <c r="H31" s="323"/>
      <c r="I31" s="134"/>
      <c r="J31" s="16"/>
      <c r="K31" s="231"/>
    </row>
    <row r="32" spans="2:11" ht="6" customHeight="1" thickBot="1">
      <c r="B32" s="77"/>
      <c r="C32" s="77"/>
      <c r="D32" s="77"/>
      <c r="E32" s="77"/>
      <c r="F32" s="197"/>
      <c r="G32" s="77"/>
      <c r="H32" s="138"/>
      <c r="I32" s="77"/>
      <c r="J32" s="77"/>
      <c r="K32" s="138"/>
    </row>
    <row r="33" spans="2:11" ht="15.75">
      <c r="B33" s="169" t="s">
        <v>307</v>
      </c>
      <c r="C33" s="278"/>
      <c r="D33" s="4"/>
      <c r="E33" s="20"/>
      <c r="F33" s="238"/>
      <c r="G33" s="4"/>
      <c r="H33" s="224"/>
      <c r="I33" s="223"/>
      <c r="J33" s="223"/>
      <c r="K33" s="16"/>
    </row>
    <row r="34" spans="2:11" ht="13.5" thickBot="1">
      <c r="B34" s="9"/>
      <c r="C34" s="6"/>
      <c r="D34" s="6"/>
      <c r="E34" s="132"/>
      <c r="F34" s="9" t="s">
        <v>258</v>
      </c>
      <c r="G34" s="6"/>
      <c r="H34" s="286">
        <f>(E37*5)-SUM(H35:H40)</f>
        <v>0</v>
      </c>
      <c r="I34" s="6" t="s">
        <v>544</v>
      </c>
      <c r="J34" s="6"/>
      <c r="K34" s="30">
        <f>SUM(H36:H40)-K36-K37</f>
        <v>0</v>
      </c>
    </row>
    <row r="35" spans="2:11" ht="13.5" thickBot="1">
      <c r="B35" s="9"/>
      <c r="C35" s="6"/>
      <c r="D35" s="6"/>
      <c r="E35" s="181" t="s">
        <v>256</v>
      </c>
      <c r="F35" s="9" t="s">
        <v>274</v>
      </c>
      <c r="H35" s="246"/>
      <c r="I35" s="6" t="s">
        <v>545</v>
      </c>
      <c r="J35" s="6"/>
      <c r="K35" s="30">
        <f>(E37*5)-(1*E36)-K34</f>
        <v>0</v>
      </c>
    </row>
    <row r="36" spans="2:11" ht="13.5" thickBot="1">
      <c r="B36" s="9"/>
      <c r="C36" s="275" t="s">
        <v>463</v>
      </c>
      <c r="D36" s="6"/>
      <c r="E36" s="283"/>
      <c r="F36" s="215" t="s">
        <v>355</v>
      </c>
      <c r="H36" s="285"/>
      <c r="I36" s="6" t="s">
        <v>536</v>
      </c>
      <c r="J36" s="6"/>
      <c r="K36" s="246"/>
    </row>
    <row r="37" spans="2:11" ht="13.5" thickBot="1">
      <c r="B37" s="9"/>
      <c r="C37" s="275" t="s">
        <v>464</v>
      </c>
      <c r="D37" s="6"/>
      <c r="E37" s="284"/>
      <c r="F37" s="9" t="s">
        <v>395</v>
      </c>
      <c r="H37" s="285"/>
      <c r="I37" s="6" t="s">
        <v>551</v>
      </c>
      <c r="K37" s="343"/>
    </row>
    <row r="38" spans="2:11" ht="12.75">
      <c r="B38" s="9"/>
      <c r="C38" s="6"/>
      <c r="D38" s="6"/>
      <c r="E38" s="132"/>
      <c r="F38" s="9" t="s">
        <v>396</v>
      </c>
      <c r="H38" s="285"/>
      <c r="I38" s="321" t="s">
        <v>543</v>
      </c>
      <c r="J38" s="6"/>
      <c r="K38" s="285"/>
    </row>
    <row r="39" spans="2:11" ht="12.75">
      <c r="B39" s="9"/>
      <c r="C39" s="6"/>
      <c r="D39" s="6"/>
      <c r="E39" s="132"/>
      <c r="F39" s="9" t="s">
        <v>380</v>
      </c>
      <c r="H39" s="285"/>
      <c r="I39" s="320" t="s">
        <v>520</v>
      </c>
      <c r="J39" s="6"/>
      <c r="K39" s="285"/>
    </row>
    <row r="40" spans="2:11" ht="13.5" thickBot="1">
      <c r="B40" s="9"/>
      <c r="C40" s="6"/>
      <c r="D40" s="6"/>
      <c r="E40" s="132"/>
      <c r="F40" s="9" t="s">
        <v>383</v>
      </c>
      <c r="H40" s="323"/>
      <c r="I40" s="182" t="s">
        <v>522</v>
      </c>
      <c r="J40" s="6"/>
      <c r="K40" s="285"/>
    </row>
    <row r="41" spans="2:11" ht="12.75">
      <c r="B41" s="9"/>
      <c r="C41" s="6"/>
      <c r="D41" s="6"/>
      <c r="E41" s="132"/>
      <c r="G41" s="6"/>
      <c r="H41" s="163"/>
      <c r="I41" s="217" t="s">
        <v>523</v>
      </c>
      <c r="J41" s="6"/>
      <c r="K41" s="285"/>
    </row>
    <row r="42" spans="2:11" ht="12.75">
      <c r="B42" s="9"/>
      <c r="C42" s="6"/>
      <c r="D42" s="6"/>
      <c r="E42" s="132"/>
      <c r="G42" s="6"/>
      <c r="H42" s="163"/>
      <c r="I42" s="182" t="s">
        <v>532</v>
      </c>
      <c r="J42" s="6"/>
      <c r="K42" s="324"/>
    </row>
    <row r="43" spans="2:11" ht="13.5" thickBot="1">
      <c r="B43" s="133"/>
      <c r="C43" s="134"/>
      <c r="D43" s="134"/>
      <c r="E43" s="135"/>
      <c r="F43" s="133"/>
      <c r="G43" s="134"/>
      <c r="H43" s="231"/>
      <c r="I43" s="182" t="s">
        <v>533</v>
      </c>
      <c r="J43" s="134"/>
      <c r="K43" s="323"/>
    </row>
    <row r="44" spans="2:11" ht="7.5" customHeight="1" thickBot="1">
      <c r="B44" s="136"/>
      <c r="C44" s="77"/>
      <c r="D44" s="77"/>
      <c r="E44" s="77"/>
      <c r="F44" s="197"/>
      <c r="G44" s="77"/>
      <c r="H44" s="136"/>
      <c r="I44" s="77"/>
      <c r="J44" s="77"/>
      <c r="K44" s="138"/>
    </row>
    <row r="45" spans="2:11" ht="16.5" thickBot="1">
      <c r="B45" s="169" t="s">
        <v>308</v>
      </c>
      <c r="C45" s="278"/>
      <c r="D45" s="4"/>
      <c r="E45" s="4"/>
      <c r="F45" s="11"/>
      <c r="G45" s="6"/>
      <c r="H45" s="224"/>
      <c r="I45" s="11"/>
      <c r="J45" s="4"/>
      <c r="K45" s="224"/>
    </row>
    <row r="46" spans="2:11" ht="13.5" thickBot="1">
      <c r="B46" s="6"/>
      <c r="C46" s="6"/>
      <c r="D46" s="6"/>
      <c r="E46" s="6"/>
      <c r="F46" s="215" t="s">
        <v>258</v>
      </c>
      <c r="G46" s="8"/>
      <c r="H46" s="285"/>
      <c r="I46" s="314" t="s">
        <v>561</v>
      </c>
      <c r="J46" s="6"/>
      <c r="K46" s="246"/>
    </row>
    <row r="47" spans="2:11" ht="13.5" thickBot="1">
      <c r="B47" s="6"/>
      <c r="C47" s="6"/>
      <c r="D47" s="6"/>
      <c r="E47" s="181" t="s">
        <v>256</v>
      </c>
      <c r="F47" s="215" t="s">
        <v>263</v>
      </c>
      <c r="G47" s="8"/>
      <c r="H47" s="285"/>
      <c r="I47" s="314" t="s">
        <v>562</v>
      </c>
      <c r="J47" s="6"/>
      <c r="K47" s="285"/>
    </row>
    <row r="48" spans="3:11" ht="13.5" thickBot="1">
      <c r="C48" s="275" t="s">
        <v>463</v>
      </c>
      <c r="D48" s="6"/>
      <c r="E48" s="281"/>
      <c r="F48" s="215" t="s">
        <v>274</v>
      </c>
      <c r="G48" s="8"/>
      <c r="H48" s="285"/>
      <c r="I48" s="317" t="s">
        <v>519</v>
      </c>
      <c r="J48" s="6"/>
      <c r="K48" s="285"/>
    </row>
    <row r="49" spans="3:11" ht="13.5" thickBot="1">
      <c r="C49" s="276" t="s">
        <v>464</v>
      </c>
      <c r="D49" s="6"/>
      <c r="E49" s="282"/>
      <c r="F49" s="215" t="s">
        <v>355</v>
      </c>
      <c r="G49" s="8"/>
      <c r="H49" s="285"/>
      <c r="I49" s="318" t="s">
        <v>520</v>
      </c>
      <c r="J49" s="6"/>
      <c r="K49" s="285"/>
    </row>
    <row r="50" spans="2:11" ht="13.5" thickBot="1">
      <c r="B50" s="9"/>
      <c r="C50" s="6"/>
      <c r="D50" s="6"/>
      <c r="E50" s="6"/>
      <c r="F50" s="215" t="s">
        <v>356</v>
      </c>
      <c r="G50" s="8"/>
      <c r="H50" s="285"/>
      <c r="I50" s="178" t="s">
        <v>266</v>
      </c>
      <c r="J50" s="6"/>
      <c r="K50" s="285"/>
    </row>
    <row r="51" spans="2:11" ht="13.5" thickBot="1">
      <c r="B51" s="9"/>
      <c r="C51" s="293" t="s">
        <v>488</v>
      </c>
      <c r="E51" s="281"/>
      <c r="F51" s="215" t="s">
        <v>260</v>
      </c>
      <c r="G51" s="8"/>
      <c r="H51" s="285"/>
      <c r="I51" s="9" t="s">
        <v>345</v>
      </c>
      <c r="J51" s="6"/>
      <c r="K51" s="285"/>
    </row>
    <row r="52" spans="2:11" ht="13.5" thickBot="1">
      <c r="B52" s="9"/>
      <c r="C52" s="6"/>
      <c r="D52" s="6"/>
      <c r="E52" s="6"/>
      <c r="F52" s="215" t="s">
        <v>261</v>
      </c>
      <c r="G52" s="8"/>
      <c r="H52" s="285"/>
      <c r="I52" s="178" t="s">
        <v>522</v>
      </c>
      <c r="K52" s="285"/>
    </row>
    <row r="53" spans="2:11" ht="13.5" thickBot="1">
      <c r="B53" s="9"/>
      <c r="C53" s="7" t="s">
        <v>489</v>
      </c>
      <c r="D53" s="6"/>
      <c r="E53" s="281"/>
      <c r="F53" s="215" t="s">
        <v>262</v>
      </c>
      <c r="G53" s="8"/>
      <c r="H53" s="285"/>
      <c r="I53" s="316" t="s">
        <v>523</v>
      </c>
      <c r="K53" s="343"/>
    </row>
    <row r="54" spans="2:11" ht="12.75">
      <c r="B54" s="9"/>
      <c r="C54" s="6"/>
      <c r="D54" s="6"/>
      <c r="E54" s="6"/>
      <c r="F54" s="215" t="s">
        <v>259</v>
      </c>
      <c r="G54" s="8"/>
      <c r="H54" s="285"/>
      <c r="I54" s="178" t="s">
        <v>267</v>
      </c>
      <c r="J54" s="6"/>
      <c r="K54" s="285"/>
    </row>
    <row r="55" spans="2:11" ht="12.75">
      <c r="B55" s="9"/>
      <c r="C55" s="6"/>
      <c r="D55" s="6"/>
      <c r="E55" s="6"/>
      <c r="F55" s="215" t="s">
        <v>280</v>
      </c>
      <c r="G55" s="8"/>
      <c r="H55" s="285"/>
      <c r="I55" s="178" t="s">
        <v>346</v>
      </c>
      <c r="J55" s="6"/>
      <c r="K55" s="285"/>
    </row>
    <row r="56" spans="2:11" ht="12.75">
      <c r="B56" s="9"/>
      <c r="C56" s="6"/>
      <c r="D56" s="6"/>
      <c r="E56" s="6"/>
      <c r="F56" s="215" t="s">
        <v>281</v>
      </c>
      <c r="G56" s="8"/>
      <c r="H56" s="285"/>
      <c r="I56" s="178" t="s">
        <v>268</v>
      </c>
      <c r="J56" s="6"/>
      <c r="K56" s="285"/>
    </row>
    <row r="57" spans="2:11" ht="12.75">
      <c r="B57" s="9"/>
      <c r="C57" s="6"/>
      <c r="D57" s="6"/>
      <c r="E57" s="6"/>
      <c r="F57" s="215" t="s">
        <v>282</v>
      </c>
      <c r="G57" s="8"/>
      <c r="H57" s="285"/>
      <c r="I57" s="178" t="s">
        <v>347</v>
      </c>
      <c r="J57" s="6"/>
      <c r="K57" s="285"/>
    </row>
    <row r="58" spans="2:11" ht="12.75">
      <c r="B58" s="9"/>
      <c r="C58" s="6"/>
      <c r="D58" s="6"/>
      <c r="E58" s="6"/>
      <c r="F58" s="215" t="s">
        <v>309</v>
      </c>
      <c r="G58" s="8"/>
      <c r="H58" s="285"/>
      <c r="I58" s="178" t="s">
        <v>269</v>
      </c>
      <c r="J58" s="6"/>
      <c r="K58" s="285"/>
    </row>
    <row r="59" spans="2:11" ht="12.75">
      <c r="B59" s="9"/>
      <c r="C59" s="6"/>
      <c r="D59" s="6"/>
      <c r="E59" s="6"/>
      <c r="F59" s="215" t="s">
        <v>295</v>
      </c>
      <c r="G59" s="8"/>
      <c r="H59" s="285"/>
      <c r="I59" s="209" t="s">
        <v>348</v>
      </c>
      <c r="J59" s="6"/>
      <c r="K59" s="285"/>
    </row>
    <row r="60" spans="2:11" ht="12.75">
      <c r="B60" s="9"/>
      <c r="C60" s="6"/>
      <c r="D60" s="6"/>
      <c r="E60" s="6"/>
      <c r="F60" s="215" t="s">
        <v>294</v>
      </c>
      <c r="G60" s="8"/>
      <c r="H60" s="285"/>
      <c r="I60" s="178" t="s">
        <v>169</v>
      </c>
      <c r="J60" s="6"/>
      <c r="K60" s="285"/>
    </row>
    <row r="61" spans="2:11" ht="13.5" thickBot="1">
      <c r="B61" s="9"/>
      <c r="C61" s="6"/>
      <c r="D61" s="6"/>
      <c r="E61" s="6"/>
      <c r="F61" s="215" t="s">
        <v>299</v>
      </c>
      <c r="G61" s="8"/>
      <c r="H61" s="285"/>
      <c r="I61" s="178" t="s">
        <v>349</v>
      </c>
      <c r="J61" s="6"/>
      <c r="K61" s="323"/>
    </row>
    <row r="62" spans="2:11" ht="13.5" thickBot="1">
      <c r="B62" s="9"/>
      <c r="C62" s="6"/>
      <c r="D62" s="6"/>
      <c r="E62" s="6"/>
      <c r="F62" s="215" t="s">
        <v>310</v>
      </c>
      <c r="G62" s="8"/>
      <c r="H62" s="285"/>
      <c r="J62" s="6"/>
      <c r="K62" s="30"/>
    </row>
    <row r="63" spans="2:11" ht="12.75">
      <c r="B63" s="9"/>
      <c r="C63" s="6"/>
      <c r="D63" s="6"/>
      <c r="E63" s="6"/>
      <c r="F63" s="215" t="s">
        <v>336</v>
      </c>
      <c r="G63" s="8"/>
      <c r="H63" s="285"/>
      <c r="I63" s="178" t="s">
        <v>559</v>
      </c>
      <c r="J63" s="6"/>
      <c r="K63" s="246"/>
    </row>
    <row r="64" spans="2:11" ht="13.5" thickBot="1">
      <c r="B64" s="9"/>
      <c r="C64" s="6"/>
      <c r="D64" s="6"/>
      <c r="E64" s="6"/>
      <c r="F64" s="216" t="s">
        <v>373</v>
      </c>
      <c r="G64" s="8"/>
      <c r="H64" s="285"/>
      <c r="I64" s="9" t="s">
        <v>560</v>
      </c>
      <c r="J64" s="6"/>
      <c r="K64" s="323"/>
    </row>
    <row r="65" spans="2:11" ht="12.75">
      <c r="B65" s="9"/>
      <c r="C65" s="6"/>
      <c r="D65" s="6"/>
      <c r="E65" s="6"/>
      <c r="F65" s="216" t="s">
        <v>374</v>
      </c>
      <c r="G65" s="8"/>
      <c r="H65" s="285"/>
      <c r="J65" s="6"/>
      <c r="K65" s="163"/>
    </row>
    <row r="66" spans="2:11" ht="12.75">
      <c r="B66" s="9"/>
      <c r="C66" s="6"/>
      <c r="D66" s="6"/>
      <c r="E66" s="6"/>
      <c r="F66" s="216" t="s">
        <v>375</v>
      </c>
      <c r="G66" s="8"/>
      <c r="H66" s="285"/>
      <c r="J66" s="6"/>
      <c r="K66" s="163"/>
    </row>
    <row r="67" spans="2:11" ht="12.75">
      <c r="B67" s="9"/>
      <c r="C67" s="6"/>
      <c r="D67" s="6"/>
      <c r="E67" s="6"/>
      <c r="F67" s="215" t="s">
        <v>380</v>
      </c>
      <c r="G67" s="8"/>
      <c r="H67" s="285"/>
      <c r="J67" s="6"/>
      <c r="K67" s="163"/>
    </row>
    <row r="68" spans="2:11" ht="12.75">
      <c r="B68" s="9"/>
      <c r="C68" s="6"/>
      <c r="D68" s="6"/>
      <c r="E68" s="6"/>
      <c r="F68" s="215" t="s">
        <v>381</v>
      </c>
      <c r="G68" s="8"/>
      <c r="H68" s="285"/>
      <c r="J68" s="6"/>
      <c r="K68" s="163"/>
    </row>
    <row r="69" spans="2:11" ht="12.75">
      <c r="B69" s="9"/>
      <c r="C69" s="6"/>
      <c r="D69" s="6"/>
      <c r="E69" s="6"/>
      <c r="F69" s="215" t="s">
        <v>382</v>
      </c>
      <c r="G69" s="8"/>
      <c r="H69" s="285"/>
      <c r="J69" s="6"/>
      <c r="K69" s="163"/>
    </row>
    <row r="70" spans="2:11" ht="12.75">
      <c r="B70" s="9"/>
      <c r="C70" s="6"/>
      <c r="D70" s="6"/>
      <c r="E70" s="6"/>
      <c r="F70" s="215" t="s">
        <v>383</v>
      </c>
      <c r="G70" s="8"/>
      <c r="H70" s="285"/>
      <c r="J70" s="6"/>
      <c r="K70" s="163"/>
    </row>
    <row r="71" spans="2:11" ht="12.75">
      <c r="B71" s="9"/>
      <c r="C71" s="6"/>
      <c r="D71" s="6"/>
      <c r="E71" s="6"/>
      <c r="F71" s="215" t="s">
        <v>384</v>
      </c>
      <c r="G71" s="8"/>
      <c r="H71" s="285"/>
      <c r="J71" s="6"/>
      <c r="K71" s="163"/>
    </row>
    <row r="72" spans="2:11" ht="12.75">
      <c r="B72" s="9"/>
      <c r="C72" s="6"/>
      <c r="D72" s="6"/>
      <c r="E72" s="6"/>
      <c r="F72" s="215" t="s">
        <v>371</v>
      </c>
      <c r="G72" s="8"/>
      <c r="H72" s="285"/>
      <c r="J72" s="6"/>
      <c r="K72" s="163"/>
    </row>
    <row r="73" spans="2:11" ht="12.75">
      <c r="B73" s="9"/>
      <c r="C73" s="6"/>
      <c r="D73" s="6"/>
      <c r="E73" s="6"/>
      <c r="F73" s="216" t="s">
        <v>376</v>
      </c>
      <c r="G73" s="8"/>
      <c r="H73" s="285"/>
      <c r="J73" s="6"/>
      <c r="K73" s="163"/>
    </row>
    <row r="74" spans="2:11" ht="12.75">
      <c r="B74" s="9"/>
      <c r="C74" s="6"/>
      <c r="D74" s="6"/>
      <c r="E74" s="6"/>
      <c r="F74" s="216" t="s">
        <v>377</v>
      </c>
      <c r="G74" s="8"/>
      <c r="H74" s="285"/>
      <c r="J74" s="6"/>
      <c r="K74" s="163"/>
    </row>
    <row r="75" spans="2:11" ht="12.75">
      <c r="B75" s="9"/>
      <c r="C75" s="6"/>
      <c r="D75" s="6"/>
      <c r="E75" s="6"/>
      <c r="F75" s="216" t="s">
        <v>441</v>
      </c>
      <c r="G75" s="8"/>
      <c r="H75" s="285"/>
      <c r="J75" s="6"/>
      <c r="K75" s="163"/>
    </row>
    <row r="76" spans="2:11" ht="12.75">
      <c r="B76" s="9"/>
      <c r="C76" s="6"/>
      <c r="D76" s="6"/>
      <c r="E76" s="6"/>
      <c r="F76" s="215" t="s">
        <v>390</v>
      </c>
      <c r="G76" s="8"/>
      <c r="H76" s="285"/>
      <c r="J76" s="6"/>
      <c r="K76" s="163"/>
    </row>
    <row r="77" spans="2:11" ht="12.75">
      <c r="B77" s="9"/>
      <c r="C77" s="6"/>
      <c r="D77" s="6"/>
      <c r="E77" s="6"/>
      <c r="F77" s="215" t="s">
        <v>391</v>
      </c>
      <c r="G77" s="8"/>
      <c r="H77" s="285"/>
      <c r="J77" s="6"/>
      <c r="K77" s="163"/>
    </row>
    <row r="78" spans="2:11" ht="12.75">
      <c r="B78" s="9"/>
      <c r="C78" s="6"/>
      <c r="D78" s="6"/>
      <c r="E78" s="6"/>
      <c r="F78" s="215" t="s">
        <v>392</v>
      </c>
      <c r="G78" s="8"/>
      <c r="H78" s="285"/>
      <c r="J78" s="6"/>
      <c r="K78" s="163"/>
    </row>
    <row r="79" spans="2:11" ht="12.75">
      <c r="B79" s="9"/>
      <c r="C79" s="6"/>
      <c r="D79" s="6"/>
      <c r="E79" s="6"/>
      <c r="F79" s="215" t="s">
        <v>393</v>
      </c>
      <c r="G79" s="8"/>
      <c r="H79" s="285"/>
      <c r="J79" s="6"/>
      <c r="K79" s="163"/>
    </row>
    <row r="80" spans="2:11" ht="12.75">
      <c r="B80" s="9"/>
      <c r="C80" s="6"/>
      <c r="D80" s="6"/>
      <c r="E80" s="6"/>
      <c r="F80" s="215" t="s">
        <v>394</v>
      </c>
      <c r="G80" s="8"/>
      <c r="H80" s="285"/>
      <c r="J80" s="6"/>
      <c r="K80" s="163"/>
    </row>
    <row r="81" spans="2:11" ht="12.75">
      <c r="B81" s="9"/>
      <c r="C81" s="6"/>
      <c r="D81" s="6"/>
      <c r="E81" s="6"/>
      <c r="F81" s="215" t="s">
        <v>372</v>
      </c>
      <c r="G81" s="8"/>
      <c r="H81" s="285"/>
      <c r="J81" s="6"/>
      <c r="K81" s="163"/>
    </row>
    <row r="82" spans="2:11" ht="12.75">
      <c r="B82" s="9"/>
      <c r="C82" s="6"/>
      <c r="D82" s="6"/>
      <c r="E82" s="6"/>
      <c r="F82" s="216" t="s">
        <v>378</v>
      </c>
      <c r="G82" s="8"/>
      <c r="H82" s="324"/>
      <c r="J82" s="6"/>
      <c r="K82" s="163"/>
    </row>
    <row r="83" spans="6:11" ht="12.75">
      <c r="F83" s="216" t="s">
        <v>379</v>
      </c>
      <c r="G83" s="6"/>
      <c r="H83" s="285"/>
      <c r="J83" s="6"/>
      <c r="K83" s="163"/>
    </row>
    <row r="84" spans="6:11" ht="12.75">
      <c r="F84" s="216" t="s">
        <v>440</v>
      </c>
      <c r="G84" s="6"/>
      <c r="H84" s="285"/>
      <c r="J84" s="6"/>
      <c r="K84" s="163"/>
    </row>
    <row r="85" spans="6:11" ht="12.75">
      <c r="F85" s="215" t="s">
        <v>385</v>
      </c>
      <c r="G85" s="6"/>
      <c r="H85" s="285"/>
      <c r="J85" s="6"/>
      <c r="K85" s="163"/>
    </row>
    <row r="86" spans="6:11" ht="12.75">
      <c r="F86" s="215" t="s">
        <v>386</v>
      </c>
      <c r="G86" s="6"/>
      <c r="H86" s="285"/>
      <c r="J86" s="6"/>
      <c r="K86" s="163"/>
    </row>
    <row r="87" spans="6:11" ht="12.75">
      <c r="F87" s="215" t="s">
        <v>387</v>
      </c>
      <c r="G87" s="6"/>
      <c r="H87" s="285"/>
      <c r="J87" s="6"/>
      <c r="K87" s="163"/>
    </row>
    <row r="88" spans="6:11" ht="12.75">
      <c r="F88" s="215" t="s">
        <v>388</v>
      </c>
      <c r="G88" s="6"/>
      <c r="H88" s="324"/>
      <c r="J88" s="6"/>
      <c r="K88" s="163"/>
    </row>
    <row r="89" spans="6:11" ht="13.5" thickBot="1">
      <c r="F89" s="215" t="s">
        <v>389</v>
      </c>
      <c r="G89" s="6"/>
      <c r="H89" s="323"/>
      <c r="I89" s="133"/>
      <c r="J89" s="134"/>
      <c r="K89" s="231"/>
    </row>
    <row r="90" spans="2:11" ht="12.75">
      <c r="B90" s="76"/>
      <c r="C90" s="76"/>
      <c r="D90" s="76"/>
      <c r="E90" s="76"/>
      <c r="F90" s="136"/>
      <c r="G90" s="137"/>
      <c r="H90" s="138"/>
      <c r="I90" s="136"/>
      <c r="J90" s="137"/>
      <c r="K90" s="138"/>
    </row>
    <row r="91" spans="2:11" ht="12.75">
      <c r="B91" s="76"/>
      <c r="C91" s="76"/>
      <c r="D91" s="76"/>
      <c r="E91" s="76"/>
      <c r="F91" s="136"/>
      <c r="G91" s="137" t="s">
        <v>166</v>
      </c>
      <c r="H91" s="138">
        <f>(E6*5)+E12+E23+K27+H29+H30+H31+(E37*5)+SUM(H46:H89)+K58+K59</f>
        <v>0</v>
      </c>
      <c r="I91" s="136"/>
      <c r="J91" s="137"/>
      <c r="K91" s="138"/>
    </row>
    <row r="92" spans="2:11" ht="12.75">
      <c r="B92" s="76"/>
      <c r="C92" s="76"/>
      <c r="D92" s="76"/>
      <c r="E92" s="76"/>
      <c r="F92" s="136"/>
      <c r="G92" s="137" t="s">
        <v>469</v>
      </c>
      <c r="H92" s="138">
        <f>E6+K12+K13+K23+K25+E36+E48+K24+K26</f>
        <v>0</v>
      </c>
      <c r="I92" s="136"/>
      <c r="J92" s="137"/>
      <c r="K92" s="138"/>
    </row>
    <row r="93" spans="2:11" ht="12.75">
      <c r="B93" s="76"/>
      <c r="C93" s="76"/>
      <c r="D93" s="76"/>
      <c r="E93" s="76"/>
      <c r="F93" s="136"/>
      <c r="G93" s="137" t="s">
        <v>470</v>
      </c>
      <c r="H93" s="138">
        <f>E6+K12+K13+K23+K25+E37+E49+K24+K26</f>
        <v>0</v>
      </c>
      <c r="I93" s="136"/>
      <c r="J93" s="137"/>
      <c r="K93" s="138"/>
    </row>
    <row r="94" spans="2:11" ht="12.75">
      <c r="B94" s="76"/>
      <c r="C94" s="76"/>
      <c r="D94" s="76"/>
      <c r="E94" s="76"/>
      <c r="F94" s="136"/>
      <c r="G94" s="137" t="s">
        <v>473</v>
      </c>
      <c r="H94" s="137">
        <f>(SUM(K5:K9)+SUM(L5:L9))+(SUM(K23:K26)*1.5)+K27+H29+H30+H31+SUM(H34:H40)+SUM(H46:H89)+K58+K59</f>
        <v>0</v>
      </c>
      <c r="I94" s="136"/>
      <c r="J94" s="137"/>
      <c r="K94" s="138"/>
    </row>
    <row r="95" spans="2:11" ht="12.75">
      <c r="B95" s="76"/>
      <c r="C95" s="76"/>
      <c r="D95" s="76"/>
      <c r="E95" s="76"/>
      <c r="F95" s="136"/>
      <c r="G95" s="137" t="s">
        <v>476</v>
      </c>
      <c r="H95" s="138">
        <f>SUM(K5:K9)+SUM(L5:L9)</f>
        <v>0</v>
      </c>
      <c r="I95" s="136"/>
      <c r="J95" s="137"/>
      <c r="K95" s="138"/>
    </row>
    <row r="96" spans="2:11" ht="12.75">
      <c r="B96" s="76"/>
      <c r="C96" s="76"/>
      <c r="D96" s="76"/>
      <c r="E96" s="76"/>
      <c r="F96" s="136"/>
      <c r="G96" s="137" t="s">
        <v>477</v>
      </c>
      <c r="H96" s="138">
        <f>K64+L9+K9</f>
        <v>0</v>
      </c>
      <c r="I96" s="136"/>
      <c r="J96" s="137"/>
      <c r="K96" s="138"/>
    </row>
    <row r="97" spans="2:11" ht="12.75">
      <c r="B97" s="76"/>
      <c r="C97" s="76"/>
      <c r="D97" s="76"/>
      <c r="E97" s="76"/>
      <c r="F97" s="136"/>
      <c r="G97" s="137" t="s">
        <v>478</v>
      </c>
      <c r="H97" s="138">
        <f>K63</f>
        <v>0</v>
      </c>
      <c r="I97" s="136"/>
      <c r="J97" s="137"/>
      <c r="K97" s="138"/>
    </row>
    <row r="98" spans="2:11" ht="12.75">
      <c r="B98" s="76"/>
      <c r="C98" s="76"/>
      <c r="D98" s="76"/>
      <c r="E98" s="76"/>
      <c r="F98" s="136"/>
      <c r="G98" s="137" t="s">
        <v>479</v>
      </c>
      <c r="H98" s="138">
        <f>SUM(H46:H89)+K58+K59-K63-K64+SUM(H34:H40)+SUM(K23:K27)+SUM(H29:H31)</f>
        <v>0</v>
      </c>
      <c r="I98" s="136"/>
      <c r="J98" s="137"/>
      <c r="K98" s="138"/>
    </row>
    <row r="99" spans="2:11" ht="12.75">
      <c r="B99" s="76"/>
      <c r="C99" s="76"/>
      <c r="D99" s="76"/>
      <c r="E99" s="76"/>
      <c r="F99" s="136"/>
      <c r="G99" s="137" t="s">
        <v>482</v>
      </c>
      <c r="H99" s="138">
        <f>SUM(H46:H89)+K58+K59+SUM(H34:H40)+SUM(K23:K27)+SUM(H29:H31)</f>
        <v>0</v>
      </c>
      <c r="I99" s="136"/>
      <c r="J99" s="137"/>
      <c r="K99" s="138"/>
    </row>
    <row r="100" spans="2:11" ht="12.75">
      <c r="B100" s="76"/>
      <c r="C100" s="76"/>
      <c r="D100" s="76"/>
      <c r="E100" s="76"/>
      <c r="F100" s="136"/>
      <c r="G100" s="137" t="s">
        <v>24</v>
      </c>
      <c r="H100" s="138">
        <f>SUM(H46:H89)+K58+K59</f>
        <v>0</v>
      </c>
      <c r="I100" s="136"/>
      <c r="J100" s="137"/>
      <c r="K100" s="138"/>
    </row>
    <row r="101" spans="2:11" ht="12.75">
      <c r="B101" s="76"/>
      <c r="C101" s="76"/>
      <c r="D101" s="76"/>
      <c r="E101" s="76"/>
      <c r="F101" s="136"/>
      <c r="G101" s="137" t="s">
        <v>25</v>
      </c>
      <c r="H101" s="138">
        <f>SUM(H29:H31)+K27+SUM(H34:H40)</f>
        <v>0</v>
      </c>
      <c r="I101" s="136"/>
      <c r="J101" s="137"/>
      <c r="K101" s="138"/>
    </row>
    <row r="102" spans="2:11" ht="12.75">
      <c r="B102" s="76"/>
      <c r="C102" s="76"/>
      <c r="D102" s="76"/>
      <c r="E102" s="76"/>
      <c r="F102" s="136"/>
      <c r="G102" s="137" t="s">
        <v>23</v>
      </c>
      <c r="H102" s="138">
        <f>SUM(K5:K9)+SUM(L5:L9)+(SUM(K23:K26)*1.5)</f>
        <v>0</v>
      </c>
      <c r="I102" s="136"/>
      <c r="J102" s="137"/>
      <c r="K102" s="138"/>
    </row>
    <row r="103" spans="2:11" ht="12.75">
      <c r="B103" s="76"/>
      <c r="C103" s="76"/>
      <c r="D103" s="76"/>
      <c r="E103" s="76"/>
      <c r="F103" s="136"/>
      <c r="G103" s="137"/>
      <c r="H103" s="138"/>
      <c r="I103" s="136"/>
      <c r="J103" s="137"/>
      <c r="K103" s="138"/>
    </row>
    <row r="104" spans="2:11" ht="12.75">
      <c r="B104" s="76"/>
      <c r="C104" s="76"/>
      <c r="D104" s="76"/>
      <c r="E104" s="76"/>
      <c r="F104" s="136"/>
      <c r="G104" s="137"/>
      <c r="H104" s="138"/>
      <c r="I104" s="136"/>
      <c r="J104" s="137"/>
      <c r="K104" s="138"/>
    </row>
    <row r="105" spans="2:11" ht="12.75">
      <c r="B105" s="76"/>
      <c r="C105" s="76"/>
      <c r="D105" s="76"/>
      <c r="E105" s="76"/>
      <c r="F105" s="136"/>
      <c r="G105" s="137"/>
      <c r="H105" s="138"/>
      <c r="I105" s="136"/>
      <c r="J105" s="137"/>
      <c r="K105" s="138"/>
    </row>
    <row r="106" spans="2:11" ht="12.75">
      <c r="B106" s="76"/>
      <c r="C106" s="76"/>
      <c r="D106" s="76"/>
      <c r="E106" s="76"/>
      <c r="F106" s="136"/>
      <c r="G106" s="137"/>
      <c r="H106" s="138"/>
      <c r="I106" s="136"/>
      <c r="J106" s="137"/>
      <c r="K106" s="138"/>
    </row>
    <row r="107" spans="2:11" ht="12.75">
      <c r="B107" s="76"/>
      <c r="C107" s="76"/>
      <c r="D107" s="76"/>
      <c r="E107" s="76"/>
      <c r="F107" s="136"/>
      <c r="G107" s="137"/>
      <c r="H107" s="138"/>
      <c r="I107" s="136"/>
      <c r="J107" s="137"/>
      <c r="K107" s="138"/>
    </row>
    <row r="108" spans="2:11" ht="12.75">
      <c r="B108" s="76"/>
      <c r="C108" s="76"/>
      <c r="D108" s="76"/>
      <c r="E108" s="76"/>
      <c r="F108" s="136"/>
      <c r="G108" s="137"/>
      <c r="H108" s="138"/>
      <c r="I108" s="136"/>
      <c r="J108" s="137"/>
      <c r="K108" s="138"/>
    </row>
    <row r="109" spans="2:11" ht="12.75">
      <c r="B109" s="76"/>
      <c r="C109" s="76"/>
      <c r="D109" s="76"/>
      <c r="E109" s="76"/>
      <c r="F109" s="136"/>
      <c r="G109" s="137"/>
      <c r="H109" s="138"/>
      <c r="I109" s="136"/>
      <c r="J109" s="137"/>
      <c r="K109" s="138"/>
    </row>
    <row r="110" spans="2:11" ht="12.75">
      <c r="B110" s="76"/>
      <c r="C110" s="76"/>
      <c r="D110" s="76"/>
      <c r="E110" s="76"/>
      <c r="F110" s="136"/>
      <c r="G110" s="137"/>
      <c r="H110" s="138"/>
      <c r="I110" s="136"/>
      <c r="J110" s="137"/>
      <c r="K110" s="138"/>
    </row>
    <row r="111" spans="2:11" ht="12.75">
      <c r="B111" s="76"/>
      <c r="C111" s="76"/>
      <c r="D111" s="76"/>
      <c r="E111" s="76"/>
      <c r="F111" s="136"/>
      <c r="G111" s="137"/>
      <c r="H111" s="138"/>
      <c r="I111" s="136"/>
      <c r="J111" s="137"/>
      <c r="K111" s="138"/>
    </row>
    <row r="112" spans="2:11" ht="12.75">
      <c r="B112" s="76"/>
      <c r="C112" s="76"/>
      <c r="D112" s="76"/>
      <c r="E112" s="76"/>
      <c r="F112" s="136"/>
      <c r="G112" s="137"/>
      <c r="H112" s="138"/>
      <c r="I112" s="136"/>
      <c r="J112" s="137"/>
      <c r="K112" s="138"/>
    </row>
    <row r="113" spans="2:11" ht="12.75">
      <c r="B113" s="76"/>
      <c r="C113" s="76"/>
      <c r="D113" s="76"/>
      <c r="E113" s="76"/>
      <c r="F113" s="136"/>
      <c r="G113" s="137"/>
      <c r="H113" s="138"/>
      <c r="I113" s="136"/>
      <c r="J113" s="137"/>
      <c r="K113" s="138"/>
    </row>
    <row r="114" spans="2:11" ht="12.75">
      <c r="B114" s="76"/>
      <c r="C114" s="76"/>
      <c r="D114" s="76"/>
      <c r="E114" s="76"/>
      <c r="F114" s="136"/>
      <c r="G114" s="137"/>
      <c r="H114" s="138"/>
      <c r="I114" s="136"/>
      <c r="J114" s="137"/>
      <c r="K114" s="138"/>
    </row>
    <row r="115" spans="2:11" ht="12.75">
      <c r="B115" s="76"/>
      <c r="C115" s="76"/>
      <c r="D115" s="76"/>
      <c r="E115" s="76"/>
      <c r="F115" s="136"/>
      <c r="G115" s="137"/>
      <c r="H115" s="138"/>
      <c r="I115" s="136"/>
      <c r="J115" s="137"/>
      <c r="K115" s="138"/>
    </row>
    <row r="116" spans="2:11" ht="12.75">
      <c r="B116" s="76"/>
      <c r="C116" s="76"/>
      <c r="D116" s="76"/>
      <c r="E116" s="76"/>
      <c r="F116" s="136"/>
      <c r="G116" s="137"/>
      <c r="H116" s="138"/>
      <c r="I116" s="136"/>
      <c r="J116" s="137"/>
      <c r="K116" s="138"/>
    </row>
    <row r="117" spans="2:11" ht="12.75">
      <c r="B117" s="76"/>
      <c r="C117" s="76"/>
      <c r="D117" s="76"/>
      <c r="E117" s="76"/>
      <c r="F117" s="136"/>
      <c r="G117" s="137"/>
      <c r="H117" s="138"/>
      <c r="I117" s="136"/>
      <c r="J117" s="137"/>
      <c r="K117" s="138"/>
    </row>
    <row r="118" spans="2:11" ht="12.75">
      <c r="B118" s="76"/>
      <c r="C118" s="76"/>
      <c r="D118" s="76"/>
      <c r="E118" s="76"/>
      <c r="F118" s="136"/>
      <c r="G118" s="137"/>
      <c r="H118" s="138"/>
      <c r="I118" s="136"/>
      <c r="J118" s="137"/>
      <c r="K118" s="138"/>
    </row>
    <row r="119" spans="2:11" ht="12.75">
      <c r="B119" s="76"/>
      <c r="C119" s="76"/>
      <c r="D119" s="76"/>
      <c r="E119" s="76"/>
      <c r="F119" s="136"/>
      <c r="G119" s="137"/>
      <c r="H119" s="138"/>
      <c r="I119" s="136"/>
      <c r="J119" s="137"/>
      <c r="K119" s="138"/>
    </row>
    <row r="120" spans="2:11" ht="12.75">
      <c r="B120" s="76"/>
      <c r="C120" s="76"/>
      <c r="D120" s="76"/>
      <c r="E120" s="76"/>
      <c r="F120" s="136"/>
      <c r="G120" s="137"/>
      <c r="H120" s="138"/>
      <c r="I120" s="136"/>
      <c r="J120" s="137"/>
      <c r="K120" s="138"/>
    </row>
    <row r="121" spans="2:11" ht="12.75">
      <c r="B121" s="76"/>
      <c r="C121" s="76"/>
      <c r="D121" s="76"/>
      <c r="E121" s="76"/>
      <c r="F121" s="136"/>
      <c r="G121" s="137"/>
      <c r="H121" s="138"/>
      <c r="I121" s="136"/>
      <c r="J121" s="137"/>
      <c r="K121" s="138"/>
    </row>
    <row r="122" spans="2:11" ht="12.75">
      <c r="B122" s="76"/>
      <c r="C122" s="76"/>
      <c r="D122" s="76"/>
      <c r="E122" s="76"/>
      <c r="F122" s="136"/>
      <c r="G122" s="137"/>
      <c r="H122" s="138"/>
      <c r="I122" s="136"/>
      <c r="J122" s="137"/>
      <c r="K122" s="138"/>
    </row>
    <row r="123" spans="2:11" ht="12.75">
      <c r="B123" s="76"/>
      <c r="C123" s="76"/>
      <c r="D123" s="76"/>
      <c r="E123" s="76"/>
      <c r="F123" s="136"/>
      <c r="G123" s="137"/>
      <c r="H123" s="138"/>
      <c r="I123" s="136"/>
      <c r="J123" s="137"/>
      <c r="K123" s="138"/>
    </row>
    <row r="124" spans="2:11" ht="12.75">
      <c r="B124" s="76"/>
      <c r="C124" s="76"/>
      <c r="D124" s="76"/>
      <c r="E124" s="76"/>
      <c r="F124" s="136"/>
      <c r="G124" s="137"/>
      <c r="H124" s="138"/>
      <c r="I124" s="136"/>
      <c r="J124" s="137"/>
      <c r="K124" s="138"/>
    </row>
    <row r="125" spans="2:11" ht="12.75">
      <c r="B125" s="76"/>
      <c r="C125" s="76"/>
      <c r="D125" s="76"/>
      <c r="E125" s="76"/>
      <c r="F125" s="136"/>
      <c r="G125" s="137"/>
      <c r="H125" s="138"/>
      <c r="I125" s="136"/>
      <c r="J125" s="137"/>
      <c r="K125" s="138"/>
    </row>
    <row r="126" spans="2:11" ht="12.75">
      <c r="B126" s="76"/>
      <c r="C126" s="76"/>
      <c r="D126" s="76"/>
      <c r="E126" s="76"/>
      <c r="F126" s="136"/>
      <c r="G126" s="137"/>
      <c r="H126" s="138"/>
      <c r="I126" s="136"/>
      <c r="J126" s="137"/>
      <c r="K126" s="138"/>
    </row>
    <row r="127" spans="2:11" ht="12.75">
      <c r="B127" s="76"/>
      <c r="C127" s="76"/>
      <c r="D127" s="76"/>
      <c r="E127" s="76"/>
      <c r="F127" s="136"/>
      <c r="G127" s="137"/>
      <c r="H127" s="138"/>
      <c r="I127" s="136"/>
      <c r="J127" s="137"/>
      <c r="K127" s="138"/>
    </row>
    <row r="128" spans="2:11" ht="12.75">
      <c r="B128" s="76"/>
      <c r="C128" s="76"/>
      <c r="D128" s="76"/>
      <c r="E128" s="76"/>
      <c r="F128" s="136"/>
      <c r="G128" s="137"/>
      <c r="H128" s="138"/>
      <c r="I128" s="136"/>
      <c r="J128" s="137"/>
      <c r="K128" s="138"/>
    </row>
    <row r="129" spans="2:11" ht="12.75">
      <c r="B129" s="76"/>
      <c r="C129" s="76"/>
      <c r="D129" s="76"/>
      <c r="E129" s="76"/>
      <c r="F129" s="136"/>
      <c r="G129" s="137"/>
      <c r="H129" s="138"/>
      <c r="I129" s="136"/>
      <c r="J129" s="137"/>
      <c r="K129" s="138"/>
    </row>
    <row r="130" spans="2:11" ht="12.75">
      <c r="B130" s="76"/>
      <c r="C130" s="76"/>
      <c r="D130" s="76"/>
      <c r="E130" s="76"/>
      <c r="F130" s="136"/>
      <c r="G130" s="137"/>
      <c r="H130" s="138"/>
      <c r="I130" s="136"/>
      <c r="J130" s="137"/>
      <c r="K130" s="138"/>
    </row>
    <row r="131" spans="2:11" ht="12.75">
      <c r="B131" s="76"/>
      <c r="C131" s="76"/>
      <c r="D131" s="76"/>
      <c r="E131" s="76"/>
      <c r="F131" s="136"/>
      <c r="G131" s="137"/>
      <c r="H131" s="138"/>
      <c r="I131" s="136"/>
      <c r="J131" s="137"/>
      <c r="K131" s="138"/>
    </row>
    <row r="132" spans="2:11" ht="12.75">
      <c r="B132" s="76"/>
      <c r="C132" s="76"/>
      <c r="D132" s="76"/>
      <c r="E132" s="76"/>
      <c r="F132" s="136"/>
      <c r="G132" s="137"/>
      <c r="H132" s="138"/>
      <c r="I132" s="136"/>
      <c r="J132" s="137"/>
      <c r="K132" s="138"/>
    </row>
    <row r="133" spans="2:11" ht="12.75">
      <c r="B133" s="76"/>
      <c r="C133" s="76"/>
      <c r="D133" s="76"/>
      <c r="E133" s="76"/>
      <c r="F133" s="136"/>
      <c r="G133" s="137"/>
      <c r="H133" s="138"/>
      <c r="I133" s="136"/>
      <c r="J133" s="137"/>
      <c r="K133" s="138"/>
    </row>
    <row r="134" spans="2:11" ht="12.75">
      <c r="B134" s="76"/>
      <c r="C134" s="76"/>
      <c r="D134" s="76"/>
      <c r="E134" s="76"/>
      <c r="F134" s="136"/>
      <c r="G134" s="137"/>
      <c r="H134" s="138"/>
      <c r="I134" s="136"/>
      <c r="J134" s="137"/>
      <c r="K134" s="138"/>
    </row>
    <row r="135" spans="2:11" ht="12.75">
      <c r="B135" s="76"/>
      <c r="C135" s="76"/>
      <c r="D135" s="76"/>
      <c r="E135" s="76"/>
      <c r="F135" s="136"/>
      <c r="G135" s="137"/>
      <c r="H135" s="138"/>
      <c r="I135" s="136"/>
      <c r="J135" s="137"/>
      <c r="K135" s="138"/>
    </row>
  </sheetData>
  <mergeCells count="4">
    <mergeCell ref="F1:G1"/>
    <mergeCell ref="I1:J1"/>
    <mergeCell ref="F3:G3"/>
    <mergeCell ref="I3:J3"/>
  </mergeCells>
  <printOptions/>
  <pageMargins left="0.75" right="0.75" top="1" bottom="1" header="0" footer="0"/>
  <pageSetup orientation="portrait" paperSize="9"/>
</worksheet>
</file>

<file path=xl/worksheets/sheet24.xml><?xml version="1.0" encoding="utf-8"?>
<worksheet xmlns="http://schemas.openxmlformats.org/spreadsheetml/2006/main" xmlns:r="http://schemas.openxmlformats.org/officeDocument/2006/relationships">
  <sheetPr>
    <tabColor indexed="12"/>
  </sheetPr>
  <dimension ref="B1:K93"/>
  <sheetViews>
    <sheetView workbookViewId="0" topLeftCell="A1">
      <selection activeCell="K12" sqref="K12"/>
    </sheetView>
  </sheetViews>
  <sheetFormatPr defaultColWidth="11.421875" defaultRowHeight="12.75"/>
  <cols>
    <col min="1" max="1" width="2.8515625" style="76" customWidth="1"/>
    <col min="2" max="2" width="34.140625" style="0" customWidth="1"/>
    <col min="5" max="5" width="6.7109375" style="0" customWidth="1"/>
    <col min="6" max="6" width="11.421875" style="9" customWidth="1"/>
    <col min="7" max="7" width="20.00390625" style="132" customWidth="1"/>
    <col min="8" max="8" width="6.00390625" style="167" customWidth="1"/>
    <col min="9" max="9" width="11.421875" style="9" customWidth="1"/>
    <col min="10" max="10" width="18.421875" style="132" customWidth="1"/>
    <col min="11" max="11" width="5.8515625" style="167" customWidth="1"/>
    <col min="12" max="13" width="11.421875" style="76" customWidth="1"/>
  </cols>
  <sheetData>
    <row r="1" spans="2:11" ht="13.5" thickBot="1">
      <c r="B1" s="76"/>
      <c r="C1" s="76"/>
      <c r="D1" s="76"/>
      <c r="E1" s="76"/>
      <c r="F1" s="793"/>
      <c r="G1" s="794"/>
      <c r="H1" s="149"/>
      <c r="I1" s="793"/>
      <c r="J1" s="794"/>
      <c r="K1" s="149"/>
    </row>
    <row r="2" spans="2:11" ht="13.5" thickBot="1">
      <c r="B2" s="136"/>
      <c r="C2" s="77"/>
      <c r="D2" s="77"/>
      <c r="E2" s="77"/>
      <c r="F2" s="136"/>
      <c r="G2" s="187"/>
      <c r="H2" s="136"/>
      <c r="I2" s="136"/>
      <c r="J2" s="187"/>
      <c r="K2" s="138"/>
    </row>
    <row r="3" spans="2:11" ht="18.75" thickBot="1">
      <c r="B3" s="161" t="s">
        <v>311</v>
      </c>
      <c r="C3" s="177"/>
      <c r="D3" s="177"/>
      <c r="E3" s="177"/>
      <c r="F3" s="795" t="s">
        <v>195</v>
      </c>
      <c r="G3" s="796"/>
      <c r="H3" s="181" t="s">
        <v>256</v>
      </c>
      <c r="I3" s="795" t="s">
        <v>197</v>
      </c>
      <c r="J3" s="796"/>
      <c r="K3" s="181" t="s">
        <v>256</v>
      </c>
    </row>
    <row r="4" spans="2:11" ht="16.5" thickBot="1">
      <c r="B4" s="169" t="s">
        <v>312</v>
      </c>
      <c r="C4" s="4"/>
      <c r="D4" s="4"/>
      <c r="E4" s="181" t="s">
        <v>256</v>
      </c>
      <c r="F4" s="11"/>
      <c r="G4" s="4"/>
      <c r="H4" s="223"/>
      <c r="I4" s="11"/>
      <c r="J4" s="4"/>
      <c r="K4" s="224"/>
    </row>
    <row r="5" spans="2:11" ht="13.5" thickBot="1">
      <c r="B5" s="9"/>
      <c r="C5" s="275" t="s">
        <v>463</v>
      </c>
      <c r="D5" s="6"/>
      <c r="E5" s="283"/>
      <c r="F5" s="215" t="s">
        <v>355</v>
      </c>
      <c r="G5" s="6"/>
      <c r="H5" s="30">
        <f>(E6*5)-H6-H7-H8-H9-H10-H11-H12-H13-H14-H15</f>
        <v>0</v>
      </c>
      <c r="I5" s="178" t="s">
        <v>537</v>
      </c>
      <c r="J5" s="6"/>
      <c r="K5" s="286">
        <f>(E6*5)-(SUM(K6:K13))</f>
        <v>0</v>
      </c>
    </row>
    <row r="6" spans="2:11" ht="13.5" thickBot="1">
      <c r="B6" s="9"/>
      <c r="C6" s="276" t="s">
        <v>464</v>
      </c>
      <c r="D6" s="6"/>
      <c r="E6" s="284"/>
      <c r="F6" s="215" t="s">
        <v>258</v>
      </c>
      <c r="G6" s="6"/>
      <c r="H6" s="326"/>
      <c r="I6" s="178" t="s">
        <v>536</v>
      </c>
      <c r="J6" s="6"/>
      <c r="K6" s="286">
        <f>(E5*1)-SUM(K7:K13)</f>
        <v>0</v>
      </c>
    </row>
    <row r="7" spans="2:11" ht="13.5" thickBot="1">
      <c r="B7" s="9"/>
      <c r="C7" s="6"/>
      <c r="D7" s="6"/>
      <c r="E7" s="19"/>
      <c r="F7" s="215" t="s">
        <v>274</v>
      </c>
      <c r="G7" s="6"/>
      <c r="H7" s="327"/>
      <c r="I7" s="178" t="s">
        <v>534</v>
      </c>
      <c r="J7" s="6"/>
      <c r="K7" s="246"/>
    </row>
    <row r="8" spans="2:11" ht="13.5" thickBot="1">
      <c r="B8" s="9"/>
      <c r="C8" s="293" t="s">
        <v>488</v>
      </c>
      <c r="E8" s="283"/>
      <c r="F8" s="215" t="s">
        <v>357</v>
      </c>
      <c r="G8" s="8"/>
      <c r="H8" s="326"/>
      <c r="I8" s="178" t="s">
        <v>519</v>
      </c>
      <c r="J8" s="6"/>
      <c r="K8" s="285"/>
    </row>
    <row r="9" spans="2:11" ht="13.5" thickBot="1">
      <c r="B9" s="9"/>
      <c r="C9" s="6"/>
      <c r="D9" s="6"/>
      <c r="E9" s="19"/>
      <c r="F9" s="215" t="s">
        <v>358</v>
      </c>
      <c r="G9" s="8"/>
      <c r="H9" s="328"/>
      <c r="I9" s="330" t="s">
        <v>520</v>
      </c>
      <c r="J9" s="6"/>
      <c r="K9" s="285"/>
    </row>
    <row r="10" spans="2:11" ht="13.5" thickBot="1">
      <c r="B10" s="9"/>
      <c r="C10" s="7" t="s">
        <v>489</v>
      </c>
      <c r="D10" s="6"/>
      <c r="E10" s="283"/>
      <c r="F10" s="215" t="s">
        <v>359</v>
      </c>
      <c r="G10" s="8"/>
      <c r="H10" s="328"/>
      <c r="I10" s="178" t="s">
        <v>522</v>
      </c>
      <c r="J10" s="6"/>
      <c r="K10" s="285"/>
    </row>
    <row r="11" spans="2:11" ht="12.75">
      <c r="B11" s="9"/>
      <c r="C11" s="6"/>
      <c r="D11" s="6"/>
      <c r="E11" s="6"/>
      <c r="F11" s="215" t="s">
        <v>380</v>
      </c>
      <c r="G11" s="8"/>
      <c r="H11" s="328"/>
      <c r="I11" s="209" t="s">
        <v>523</v>
      </c>
      <c r="J11" s="6"/>
      <c r="K11" s="285"/>
    </row>
    <row r="12" spans="2:11" ht="12.75">
      <c r="B12" s="9"/>
      <c r="C12" s="6"/>
      <c r="D12" s="6"/>
      <c r="E12" s="6"/>
      <c r="F12" s="215" t="s">
        <v>381</v>
      </c>
      <c r="G12" s="8"/>
      <c r="H12" s="328"/>
      <c r="I12" s="178" t="s">
        <v>532</v>
      </c>
      <c r="J12" s="6"/>
      <c r="K12" s="285"/>
    </row>
    <row r="13" spans="2:11" ht="13.5" thickBot="1">
      <c r="B13" s="9"/>
      <c r="C13" s="6"/>
      <c r="D13" s="6"/>
      <c r="E13" s="6"/>
      <c r="F13" s="215" t="s">
        <v>382</v>
      </c>
      <c r="G13" s="8"/>
      <c r="H13" s="328"/>
      <c r="I13" s="178" t="s">
        <v>533</v>
      </c>
      <c r="J13" s="6"/>
      <c r="K13" s="323"/>
    </row>
    <row r="14" spans="2:11" ht="12.75">
      <c r="B14" s="9"/>
      <c r="C14" s="6"/>
      <c r="D14" s="6"/>
      <c r="E14" s="6"/>
      <c r="F14" s="215" t="s">
        <v>383</v>
      </c>
      <c r="G14" s="8"/>
      <c r="H14" s="329"/>
      <c r="J14" s="6"/>
      <c r="K14" s="163"/>
    </row>
    <row r="15" spans="2:11" ht="13.5" thickBot="1">
      <c r="B15" s="9"/>
      <c r="C15" s="6"/>
      <c r="D15" s="6"/>
      <c r="E15" s="6"/>
      <c r="F15" s="215" t="s">
        <v>384</v>
      </c>
      <c r="G15" s="8"/>
      <c r="H15" s="327"/>
      <c r="J15" s="6"/>
      <c r="K15" s="163"/>
    </row>
    <row r="16" spans="2:11" ht="12.75">
      <c r="B16" s="9"/>
      <c r="C16" s="6"/>
      <c r="D16" s="6"/>
      <c r="E16" s="6"/>
      <c r="G16" s="6"/>
      <c r="H16" s="16"/>
      <c r="J16" s="6"/>
      <c r="K16" s="163"/>
    </row>
    <row r="17" spans="2:11" ht="13.5" thickBot="1">
      <c r="B17" s="133"/>
      <c r="C17" s="134"/>
      <c r="D17" s="134"/>
      <c r="E17" s="134"/>
      <c r="F17" s="179"/>
      <c r="G17" s="134"/>
      <c r="H17" s="234"/>
      <c r="I17" s="133"/>
      <c r="J17" s="134"/>
      <c r="K17" s="231"/>
    </row>
    <row r="18" spans="2:11" ht="7.5" customHeight="1" thickBot="1">
      <c r="B18" s="136"/>
      <c r="C18" s="77"/>
      <c r="D18" s="77"/>
      <c r="E18" s="77"/>
      <c r="F18" s="256"/>
      <c r="G18" s="77"/>
      <c r="H18" s="138"/>
      <c r="I18" s="77"/>
      <c r="J18" s="77"/>
      <c r="K18" s="138"/>
    </row>
    <row r="19" spans="2:11" ht="16.5" thickBot="1">
      <c r="B19" s="169" t="s">
        <v>314</v>
      </c>
      <c r="C19" s="4"/>
      <c r="D19" s="4"/>
      <c r="E19" s="20"/>
      <c r="G19" s="6"/>
      <c r="H19" s="16"/>
      <c r="I19" s="77"/>
      <c r="J19" s="77"/>
      <c r="K19" s="143"/>
    </row>
    <row r="20" spans="2:11" ht="13.5" thickBot="1">
      <c r="B20" s="9"/>
      <c r="C20" s="7" t="s">
        <v>567</v>
      </c>
      <c r="D20" s="7"/>
      <c r="E20" s="338"/>
      <c r="F20" s="178" t="s">
        <v>309</v>
      </c>
      <c r="G20" s="6"/>
      <c r="H20" s="30">
        <f>E20-H21</f>
        <v>0</v>
      </c>
      <c r="I20" s="199"/>
      <c r="J20" s="77"/>
      <c r="K20" s="138"/>
    </row>
    <row r="21" spans="2:11" ht="12.75">
      <c r="B21" s="9"/>
      <c r="C21" s="6"/>
      <c r="D21" s="6"/>
      <c r="E21" s="132"/>
      <c r="F21" s="178" t="s">
        <v>310</v>
      </c>
      <c r="G21" s="6"/>
      <c r="H21" s="246"/>
      <c r="I21" s="200"/>
      <c r="J21" s="77"/>
      <c r="K21" s="138"/>
    </row>
    <row r="22" spans="2:11" ht="12.75">
      <c r="B22" s="9"/>
      <c r="C22" s="6"/>
      <c r="D22" s="6"/>
      <c r="E22" s="132"/>
      <c r="F22" s="178" t="s">
        <v>316</v>
      </c>
      <c r="G22" s="6"/>
      <c r="H22" s="285"/>
      <c r="I22" s="200"/>
      <c r="J22" s="77"/>
      <c r="K22" s="138"/>
    </row>
    <row r="23" spans="2:11" ht="13.5" thickBot="1">
      <c r="B23" s="9"/>
      <c r="C23" s="6"/>
      <c r="D23" s="6"/>
      <c r="E23" s="132"/>
      <c r="F23" s="178" t="s">
        <v>315</v>
      </c>
      <c r="G23" s="6"/>
      <c r="H23" s="323"/>
      <c r="I23" s="77"/>
      <c r="J23" s="77"/>
      <c r="K23" s="145"/>
    </row>
    <row r="24" spans="2:11" ht="7.5" customHeight="1" thickBot="1">
      <c r="B24" s="136"/>
      <c r="C24" s="77"/>
      <c r="D24" s="77"/>
      <c r="E24" s="77"/>
      <c r="F24" s="197"/>
      <c r="G24" s="77"/>
      <c r="H24" s="136"/>
      <c r="I24" s="77"/>
      <c r="J24" s="77"/>
      <c r="K24" s="138"/>
    </row>
    <row r="25" spans="2:11" ht="16.5" thickBot="1">
      <c r="B25" s="169" t="s">
        <v>313</v>
      </c>
      <c r="C25" s="4"/>
      <c r="D25" s="4"/>
      <c r="E25" s="20"/>
      <c r="G25" s="6"/>
      <c r="H25" s="16"/>
      <c r="I25" s="140"/>
      <c r="J25" s="140"/>
      <c r="K25" s="143"/>
    </row>
    <row r="26" spans="2:11" ht="13.5" thickBot="1">
      <c r="B26" s="9"/>
      <c r="C26" s="7" t="s">
        <v>568</v>
      </c>
      <c r="D26" s="7"/>
      <c r="E26" s="338"/>
      <c r="F26" s="178" t="s">
        <v>259</v>
      </c>
      <c r="G26" s="6"/>
      <c r="H26" s="30">
        <f>E26*1</f>
        <v>0</v>
      </c>
      <c r="I26" s="200"/>
      <c r="J26" s="77"/>
      <c r="K26" s="203"/>
    </row>
    <row r="27" spans="2:11" ht="12.75">
      <c r="B27" s="9"/>
      <c r="C27" s="6"/>
      <c r="D27" s="6"/>
      <c r="E27" s="132"/>
      <c r="F27" s="178" t="s">
        <v>316</v>
      </c>
      <c r="G27" s="6"/>
      <c r="H27" s="220"/>
      <c r="I27" s="197"/>
      <c r="J27" s="77"/>
      <c r="K27" s="203"/>
    </row>
    <row r="28" spans="2:11" ht="13.5" thickBot="1">
      <c r="B28" s="9"/>
      <c r="C28" s="6"/>
      <c r="D28" s="6"/>
      <c r="E28" s="132"/>
      <c r="F28" s="178" t="s">
        <v>315</v>
      </c>
      <c r="G28" s="6"/>
      <c r="H28" s="183"/>
      <c r="I28" s="197"/>
      <c r="J28" s="77"/>
      <c r="K28" s="203"/>
    </row>
    <row r="29" spans="2:11" ht="13.5" thickBot="1">
      <c r="B29" s="136"/>
      <c r="C29" s="77"/>
      <c r="D29" s="77"/>
      <c r="E29" s="77"/>
      <c r="F29" s="197"/>
      <c r="G29" s="77"/>
      <c r="H29" s="136"/>
      <c r="I29" s="197"/>
      <c r="J29" s="77"/>
      <c r="K29" s="203"/>
    </row>
    <row r="30" spans="2:11" ht="16.5" thickBot="1">
      <c r="B30" s="169" t="s">
        <v>317</v>
      </c>
      <c r="C30" s="4"/>
      <c r="D30" s="4"/>
      <c r="E30" s="20"/>
      <c r="G30" s="6"/>
      <c r="H30" s="16"/>
      <c r="I30" s="200"/>
      <c r="J30" s="77"/>
      <c r="K30" s="203"/>
    </row>
    <row r="31" spans="2:11" ht="13.5" thickBot="1">
      <c r="B31" s="9"/>
      <c r="C31" s="7" t="s">
        <v>569</v>
      </c>
      <c r="D31" s="7"/>
      <c r="E31" s="338"/>
      <c r="F31" s="178" t="s">
        <v>259</v>
      </c>
      <c r="G31" s="6"/>
      <c r="H31" s="30">
        <f>E31*1</f>
        <v>0</v>
      </c>
      <c r="I31" s="200"/>
      <c r="J31" s="77"/>
      <c r="K31" s="203"/>
    </row>
    <row r="32" spans="2:11" ht="12.75">
      <c r="B32" s="136"/>
      <c r="C32" s="77"/>
      <c r="D32" s="77"/>
      <c r="E32" s="77"/>
      <c r="F32" s="136"/>
      <c r="G32" s="77"/>
      <c r="H32" s="257"/>
      <c r="I32" s="136"/>
      <c r="J32" s="77"/>
      <c r="K32" s="138"/>
    </row>
    <row r="33" spans="2:11" ht="12.75">
      <c r="B33" s="136"/>
      <c r="C33" s="77"/>
      <c r="D33" s="77"/>
      <c r="E33" s="77"/>
      <c r="F33" s="136"/>
      <c r="G33" s="137" t="s">
        <v>166</v>
      </c>
      <c r="H33" s="202">
        <f>(E6*5)+E20+E26+E31</f>
        <v>0</v>
      </c>
      <c r="I33" s="136"/>
      <c r="J33" s="77"/>
      <c r="K33" s="138"/>
    </row>
    <row r="34" spans="2:11" ht="12.75">
      <c r="B34" s="136"/>
      <c r="C34" s="77"/>
      <c r="D34" s="77"/>
      <c r="E34" s="77"/>
      <c r="F34" s="136"/>
      <c r="G34" s="137" t="s">
        <v>469</v>
      </c>
      <c r="H34" s="202">
        <f>E5+H20+H21+H26+H31</f>
        <v>0</v>
      </c>
      <c r="I34" s="136"/>
      <c r="J34" s="77"/>
      <c r="K34" s="138"/>
    </row>
    <row r="35" spans="2:11" ht="12.75">
      <c r="B35" s="136"/>
      <c r="C35" s="77"/>
      <c r="D35" s="77"/>
      <c r="E35" s="77"/>
      <c r="F35" s="136"/>
      <c r="G35" s="137" t="s">
        <v>470</v>
      </c>
      <c r="H35" s="202">
        <f>E6+H20+H21+H26+H31</f>
        <v>0</v>
      </c>
      <c r="I35" s="136"/>
      <c r="J35" s="77"/>
      <c r="K35" s="138"/>
    </row>
    <row r="36" spans="2:11" ht="12.75">
      <c r="B36" s="136"/>
      <c r="C36" s="77"/>
      <c r="D36" s="77"/>
      <c r="E36" s="77"/>
      <c r="F36" s="197"/>
      <c r="G36" s="137" t="s">
        <v>473</v>
      </c>
      <c r="H36" s="137">
        <f>SUM(H5:H15)</f>
        <v>0</v>
      </c>
      <c r="I36" s="136"/>
      <c r="J36" s="77"/>
      <c r="K36" s="138"/>
    </row>
    <row r="37" spans="2:11" ht="12.75">
      <c r="B37" s="136"/>
      <c r="C37" s="77"/>
      <c r="D37" s="77"/>
      <c r="E37" s="77"/>
      <c r="F37" s="197"/>
      <c r="G37" s="137" t="s">
        <v>479</v>
      </c>
      <c r="H37" s="204">
        <f>SUM(H5:H15)</f>
        <v>0</v>
      </c>
      <c r="I37" s="136"/>
      <c r="J37" s="77"/>
      <c r="K37" s="138"/>
    </row>
    <row r="38" spans="2:11" ht="13.5" thickBot="1">
      <c r="B38" s="144"/>
      <c r="C38" s="205"/>
      <c r="D38" s="205"/>
      <c r="E38" s="205"/>
      <c r="F38" s="198"/>
      <c r="G38" s="205"/>
      <c r="H38" s="206"/>
      <c r="I38" s="144"/>
      <c r="J38" s="205"/>
      <c r="K38" s="145"/>
    </row>
    <row r="39" spans="2:11" ht="6" customHeight="1">
      <c r="B39" s="77"/>
      <c r="C39" s="77"/>
      <c r="D39" s="77"/>
      <c r="E39" s="77"/>
      <c r="F39" s="197"/>
      <c r="G39" s="77"/>
      <c r="H39" s="136"/>
      <c r="I39" s="136"/>
      <c r="J39" s="77"/>
      <c r="K39" s="138"/>
    </row>
    <row r="40" spans="2:11" ht="15.75">
      <c r="B40" s="112"/>
      <c r="C40" s="76"/>
      <c r="D40" s="76"/>
      <c r="E40" s="76"/>
      <c r="F40" s="136"/>
      <c r="G40" s="137"/>
      <c r="H40" s="138"/>
      <c r="I40" s="136"/>
      <c r="J40" s="137"/>
      <c r="K40" s="138"/>
    </row>
    <row r="41" spans="2:11" ht="12.75">
      <c r="B41" s="76"/>
      <c r="C41" s="76"/>
      <c r="D41" s="76"/>
      <c r="E41" s="76"/>
      <c r="F41" s="136"/>
      <c r="G41" s="137"/>
      <c r="H41" s="203"/>
      <c r="I41" s="136"/>
      <c r="J41" s="137"/>
      <c r="K41" s="203"/>
    </row>
    <row r="42" spans="2:11" ht="12.75">
      <c r="B42" s="76"/>
      <c r="C42" s="76"/>
      <c r="D42" s="76"/>
      <c r="E42" s="76"/>
      <c r="F42" s="136"/>
      <c r="G42" s="137"/>
      <c r="H42" s="203"/>
      <c r="I42" s="136"/>
      <c r="J42" s="137"/>
      <c r="K42" s="203"/>
    </row>
    <row r="43" spans="2:11" ht="12.75">
      <c r="B43" s="76"/>
      <c r="C43" s="76"/>
      <c r="D43" s="76"/>
      <c r="E43" s="76"/>
      <c r="F43" s="136"/>
      <c r="G43" s="137"/>
      <c r="H43" s="203"/>
      <c r="I43" s="136"/>
      <c r="J43" s="137"/>
      <c r="K43" s="203"/>
    </row>
    <row r="44" spans="2:11" ht="12.75">
      <c r="B44" s="76"/>
      <c r="C44" s="76"/>
      <c r="D44" s="76"/>
      <c r="E44" s="76"/>
      <c r="F44" s="136"/>
      <c r="G44" s="137"/>
      <c r="H44" s="203"/>
      <c r="I44" s="136"/>
      <c r="J44" s="137"/>
      <c r="K44" s="203"/>
    </row>
    <row r="45" spans="2:11" ht="12.75">
      <c r="B45" s="76"/>
      <c r="C45" s="76"/>
      <c r="D45" s="76"/>
      <c r="E45" s="76"/>
      <c r="F45" s="136"/>
      <c r="G45" s="137"/>
      <c r="H45" s="203"/>
      <c r="I45" s="136"/>
      <c r="J45" s="137"/>
      <c r="K45" s="203"/>
    </row>
    <row r="46" spans="2:11" ht="12.75">
      <c r="B46" s="76"/>
      <c r="C46" s="76"/>
      <c r="D46" s="76"/>
      <c r="E46" s="76"/>
      <c r="F46" s="136"/>
      <c r="G46" s="137"/>
      <c r="H46" s="207"/>
      <c r="I46" s="136"/>
      <c r="J46" s="137"/>
      <c r="K46" s="207"/>
    </row>
    <row r="47" spans="2:11" ht="13.5" thickBot="1">
      <c r="B47" s="76"/>
      <c r="C47" s="76"/>
      <c r="D47" s="76"/>
      <c r="E47" s="76"/>
      <c r="F47" s="136"/>
      <c r="G47" s="137"/>
      <c r="H47" s="191"/>
      <c r="I47" s="136"/>
      <c r="J47" s="137"/>
      <c r="K47" s="191"/>
    </row>
    <row r="48" spans="2:11" ht="12.75">
      <c r="B48" s="76"/>
      <c r="C48" s="76"/>
      <c r="D48" s="76"/>
      <c r="E48" s="76"/>
      <c r="F48" s="136"/>
      <c r="G48" s="137"/>
      <c r="H48" s="138"/>
      <c r="I48" s="136"/>
      <c r="J48" s="137"/>
      <c r="K48" s="138"/>
    </row>
    <row r="49" spans="2:11" ht="12.75">
      <c r="B49" s="76"/>
      <c r="C49" s="76"/>
      <c r="D49" s="76"/>
      <c r="E49" s="76"/>
      <c r="F49" s="136"/>
      <c r="G49" s="137"/>
      <c r="H49" s="138"/>
      <c r="I49" s="136"/>
      <c r="J49" s="137"/>
      <c r="K49" s="138"/>
    </row>
    <row r="50" spans="2:11" ht="12.75">
      <c r="B50" s="76"/>
      <c r="C50" s="76"/>
      <c r="D50" s="76"/>
      <c r="E50" s="76"/>
      <c r="F50" s="136"/>
      <c r="G50" s="137"/>
      <c r="H50" s="138"/>
      <c r="I50" s="136"/>
      <c r="J50" s="137"/>
      <c r="K50" s="138"/>
    </row>
    <row r="51" spans="2:11" ht="12.75">
      <c r="B51" s="76"/>
      <c r="C51" s="76"/>
      <c r="D51" s="76"/>
      <c r="E51" s="76"/>
      <c r="F51" s="136"/>
      <c r="G51" s="137"/>
      <c r="H51" s="138"/>
      <c r="I51" s="136"/>
      <c r="J51" s="137"/>
      <c r="K51" s="138"/>
    </row>
    <row r="52" spans="2:11" ht="12.75">
      <c r="B52" s="76"/>
      <c r="C52" s="76"/>
      <c r="D52" s="76"/>
      <c r="E52" s="76"/>
      <c r="F52" s="136"/>
      <c r="G52" s="137"/>
      <c r="H52" s="138"/>
      <c r="I52" s="136"/>
      <c r="J52" s="137"/>
      <c r="K52" s="138"/>
    </row>
    <row r="53" spans="2:11" ht="12.75">
      <c r="B53" s="76"/>
      <c r="C53" s="76"/>
      <c r="D53" s="76"/>
      <c r="E53" s="76"/>
      <c r="F53" s="136"/>
      <c r="G53" s="137"/>
      <c r="H53" s="138"/>
      <c r="I53" s="136"/>
      <c r="J53" s="137"/>
      <c r="K53" s="138"/>
    </row>
    <row r="54" spans="2:11" ht="12.75">
      <c r="B54" s="76"/>
      <c r="C54" s="76"/>
      <c r="D54" s="76"/>
      <c r="E54" s="76"/>
      <c r="F54" s="136"/>
      <c r="G54" s="137"/>
      <c r="H54" s="138"/>
      <c r="I54" s="136"/>
      <c r="J54" s="137"/>
      <c r="K54" s="138"/>
    </row>
    <row r="55" spans="2:11" ht="12.75">
      <c r="B55" s="76"/>
      <c r="C55" s="76"/>
      <c r="D55" s="76"/>
      <c r="E55" s="76"/>
      <c r="F55" s="136"/>
      <c r="G55" s="137"/>
      <c r="H55" s="138"/>
      <c r="I55" s="136"/>
      <c r="J55" s="137"/>
      <c r="K55" s="138"/>
    </row>
    <row r="56" spans="2:11" ht="12.75">
      <c r="B56" s="76"/>
      <c r="C56" s="76"/>
      <c r="D56" s="76"/>
      <c r="E56" s="76"/>
      <c r="F56" s="136"/>
      <c r="G56" s="137"/>
      <c r="H56" s="138"/>
      <c r="I56" s="136"/>
      <c r="J56" s="137"/>
      <c r="K56" s="138"/>
    </row>
    <row r="57" spans="2:11" ht="12.75">
      <c r="B57" s="76"/>
      <c r="C57" s="76"/>
      <c r="D57" s="76"/>
      <c r="E57" s="76"/>
      <c r="F57" s="136"/>
      <c r="G57" s="137"/>
      <c r="H57" s="138"/>
      <c r="I57" s="136"/>
      <c r="J57" s="137"/>
      <c r="K57" s="138"/>
    </row>
    <row r="58" spans="2:11" ht="12.75">
      <c r="B58" s="76"/>
      <c r="C58" s="76"/>
      <c r="D58" s="76"/>
      <c r="E58" s="76"/>
      <c r="F58" s="136"/>
      <c r="G58" s="137"/>
      <c r="H58" s="138"/>
      <c r="I58" s="136"/>
      <c r="J58" s="137"/>
      <c r="K58" s="138"/>
    </row>
    <row r="59" spans="2:11" ht="12.75">
      <c r="B59" s="76"/>
      <c r="C59" s="76"/>
      <c r="D59" s="76"/>
      <c r="E59" s="76"/>
      <c r="F59" s="136"/>
      <c r="G59" s="137"/>
      <c r="H59" s="138"/>
      <c r="I59" s="136"/>
      <c r="J59" s="137"/>
      <c r="K59" s="138"/>
    </row>
    <row r="60" spans="2:11" ht="12.75">
      <c r="B60" s="76"/>
      <c r="C60" s="76"/>
      <c r="D60" s="76"/>
      <c r="E60" s="76"/>
      <c r="F60" s="136"/>
      <c r="G60" s="137"/>
      <c r="H60" s="138"/>
      <c r="I60" s="136"/>
      <c r="J60" s="137"/>
      <c r="K60" s="138"/>
    </row>
    <row r="61" spans="2:11" ht="12.75">
      <c r="B61" s="76"/>
      <c r="C61" s="76"/>
      <c r="D61" s="76"/>
      <c r="E61" s="76"/>
      <c r="F61" s="136"/>
      <c r="G61" s="137"/>
      <c r="H61" s="138"/>
      <c r="I61" s="136"/>
      <c r="J61" s="137"/>
      <c r="K61" s="138"/>
    </row>
    <row r="62" spans="2:11" ht="12.75">
      <c r="B62" s="76"/>
      <c r="C62" s="76"/>
      <c r="D62" s="76"/>
      <c r="E62" s="76"/>
      <c r="F62" s="136"/>
      <c r="G62" s="137"/>
      <c r="H62" s="138"/>
      <c r="I62" s="136"/>
      <c r="J62" s="137"/>
      <c r="K62" s="138"/>
    </row>
    <row r="63" spans="2:11" ht="12.75">
      <c r="B63" s="76"/>
      <c r="C63" s="76"/>
      <c r="D63" s="76"/>
      <c r="E63" s="76"/>
      <c r="F63" s="136"/>
      <c r="G63" s="137"/>
      <c r="H63" s="138"/>
      <c r="I63" s="136"/>
      <c r="J63" s="137"/>
      <c r="K63" s="138"/>
    </row>
    <row r="64" spans="2:11" ht="12.75">
      <c r="B64" s="76"/>
      <c r="C64" s="76"/>
      <c r="D64" s="76"/>
      <c r="E64" s="76"/>
      <c r="F64" s="136"/>
      <c r="G64" s="137"/>
      <c r="H64" s="138"/>
      <c r="I64" s="136"/>
      <c r="J64" s="137"/>
      <c r="K64" s="138"/>
    </row>
    <row r="65" spans="2:11" ht="12.75">
      <c r="B65" s="76"/>
      <c r="C65" s="76"/>
      <c r="D65" s="76"/>
      <c r="E65" s="76"/>
      <c r="F65" s="136"/>
      <c r="G65" s="137"/>
      <c r="H65" s="138"/>
      <c r="I65" s="136"/>
      <c r="J65" s="137"/>
      <c r="K65" s="138"/>
    </row>
    <row r="66" spans="2:11" ht="12.75">
      <c r="B66" s="76"/>
      <c r="C66" s="76"/>
      <c r="D66" s="76"/>
      <c r="E66" s="76"/>
      <c r="F66" s="136"/>
      <c r="G66" s="137"/>
      <c r="H66" s="138"/>
      <c r="I66" s="136"/>
      <c r="J66" s="137"/>
      <c r="K66" s="138"/>
    </row>
    <row r="67" spans="2:11" ht="12.75">
      <c r="B67" s="76"/>
      <c r="C67" s="76"/>
      <c r="D67" s="76"/>
      <c r="E67" s="76"/>
      <c r="F67" s="136"/>
      <c r="G67" s="137"/>
      <c r="H67" s="138"/>
      <c r="I67" s="136"/>
      <c r="J67" s="137"/>
      <c r="K67" s="138"/>
    </row>
    <row r="68" spans="2:11" ht="12.75">
      <c r="B68" s="76"/>
      <c r="C68" s="76"/>
      <c r="D68" s="76"/>
      <c r="E68" s="76"/>
      <c r="F68" s="136"/>
      <c r="G68" s="137"/>
      <c r="H68" s="138"/>
      <c r="I68" s="136"/>
      <c r="J68" s="137"/>
      <c r="K68" s="138"/>
    </row>
    <row r="69" spans="2:11" ht="12.75">
      <c r="B69" s="76"/>
      <c r="C69" s="76"/>
      <c r="D69" s="76"/>
      <c r="E69" s="76"/>
      <c r="F69" s="136"/>
      <c r="G69" s="137"/>
      <c r="H69" s="138"/>
      <c r="I69" s="136"/>
      <c r="J69" s="137"/>
      <c r="K69" s="138"/>
    </row>
    <row r="70" spans="2:11" ht="12.75">
      <c r="B70" s="76"/>
      <c r="C70" s="76"/>
      <c r="D70" s="76"/>
      <c r="E70" s="76"/>
      <c r="F70" s="136"/>
      <c r="G70" s="137"/>
      <c r="H70" s="138"/>
      <c r="I70" s="136"/>
      <c r="J70" s="137"/>
      <c r="K70" s="138"/>
    </row>
    <row r="71" spans="2:11" ht="12.75">
      <c r="B71" s="76"/>
      <c r="C71" s="76"/>
      <c r="D71" s="76"/>
      <c r="E71" s="76"/>
      <c r="F71" s="136"/>
      <c r="G71" s="137"/>
      <c r="H71" s="138"/>
      <c r="I71" s="136"/>
      <c r="J71" s="137"/>
      <c r="K71" s="138"/>
    </row>
    <row r="72" spans="2:11" ht="12.75">
      <c r="B72" s="76"/>
      <c r="C72" s="76"/>
      <c r="D72" s="76"/>
      <c r="E72" s="76"/>
      <c r="F72" s="136"/>
      <c r="G72" s="137"/>
      <c r="H72" s="138"/>
      <c r="I72" s="136"/>
      <c r="J72" s="137"/>
      <c r="K72" s="138"/>
    </row>
    <row r="73" spans="2:11" ht="12.75">
      <c r="B73" s="76"/>
      <c r="C73" s="76"/>
      <c r="D73" s="76"/>
      <c r="E73" s="76"/>
      <c r="F73" s="136"/>
      <c r="G73" s="137"/>
      <c r="H73" s="138"/>
      <c r="I73" s="136"/>
      <c r="J73" s="137"/>
      <c r="K73" s="138"/>
    </row>
    <row r="74" spans="2:11" ht="12.75">
      <c r="B74" s="76"/>
      <c r="C74" s="76"/>
      <c r="D74" s="76"/>
      <c r="E74" s="76"/>
      <c r="F74" s="136"/>
      <c r="G74" s="137"/>
      <c r="H74" s="138"/>
      <c r="I74" s="136"/>
      <c r="J74" s="137"/>
      <c r="K74" s="138"/>
    </row>
    <row r="75" spans="2:11" ht="12.75">
      <c r="B75" s="76"/>
      <c r="C75" s="76"/>
      <c r="D75" s="76"/>
      <c r="E75" s="76"/>
      <c r="F75" s="136"/>
      <c r="G75" s="137"/>
      <c r="H75" s="138"/>
      <c r="I75" s="136"/>
      <c r="J75" s="137"/>
      <c r="K75" s="138"/>
    </row>
    <row r="76" spans="2:11" ht="12.75">
      <c r="B76" s="76"/>
      <c r="C76" s="76"/>
      <c r="D76" s="76"/>
      <c r="E76" s="76"/>
      <c r="F76" s="136"/>
      <c r="G76" s="137"/>
      <c r="H76" s="138"/>
      <c r="I76" s="136"/>
      <c r="J76" s="137"/>
      <c r="K76" s="138"/>
    </row>
    <row r="77" spans="2:11" ht="12.75">
      <c r="B77" s="76"/>
      <c r="C77" s="76"/>
      <c r="D77" s="76"/>
      <c r="E77" s="76"/>
      <c r="F77" s="136"/>
      <c r="G77" s="137"/>
      <c r="H77" s="138"/>
      <c r="I77" s="136"/>
      <c r="J77" s="137"/>
      <c r="K77" s="138"/>
    </row>
    <row r="78" spans="2:11" ht="12.75">
      <c r="B78" s="76"/>
      <c r="C78" s="76"/>
      <c r="D78" s="76"/>
      <c r="E78" s="76"/>
      <c r="F78" s="136"/>
      <c r="G78" s="137"/>
      <c r="H78" s="138"/>
      <c r="I78" s="136"/>
      <c r="J78" s="137"/>
      <c r="K78" s="138"/>
    </row>
    <row r="79" spans="2:11" ht="12.75">
      <c r="B79" s="76"/>
      <c r="C79" s="76"/>
      <c r="D79" s="76"/>
      <c r="E79" s="76"/>
      <c r="F79" s="136"/>
      <c r="G79" s="137"/>
      <c r="H79" s="138"/>
      <c r="I79" s="136"/>
      <c r="J79" s="137"/>
      <c r="K79" s="138"/>
    </row>
    <row r="80" spans="2:11" ht="12.75">
      <c r="B80" s="76"/>
      <c r="C80" s="76"/>
      <c r="D80" s="76"/>
      <c r="E80" s="76"/>
      <c r="F80" s="136"/>
      <c r="G80" s="137"/>
      <c r="H80" s="138"/>
      <c r="I80" s="136"/>
      <c r="J80" s="137"/>
      <c r="K80" s="138"/>
    </row>
    <row r="81" spans="2:11" ht="12.75">
      <c r="B81" s="76"/>
      <c r="C81" s="76"/>
      <c r="D81" s="76"/>
      <c r="E81" s="76"/>
      <c r="F81" s="136"/>
      <c r="G81" s="137"/>
      <c r="H81" s="138"/>
      <c r="I81" s="136"/>
      <c r="J81" s="137"/>
      <c r="K81" s="138"/>
    </row>
    <row r="82" spans="2:11" ht="12.75">
      <c r="B82" s="76"/>
      <c r="C82" s="76"/>
      <c r="D82" s="76"/>
      <c r="E82" s="76"/>
      <c r="F82" s="136"/>
      <c r="G82" s="137"/>
      <c r="H82" s="138"/>
      <c r="I82" s="136"/>
      <c r="J82" s="137"/>
      <c r="K82" s="138"/>
    </row>
    <row r="83" spans="2:11" ht="12.75">
      <c r="B83" s="76"/>
      <c r="C83" s="76"/>
      <c r="D83" s="76"/>
      <c r="E83" s="76"/>
      <c r="F83" s="136"/>
      <c r="G83" s="137"/>
      <c r="H83" s="138"/>
      <c r="I83" s="136"/>
      <c r="J83" s="137"/>
      <c r="K83" s="138"/>
    </row>
    <row r="84" spans="2:11" ht="12.75">
      <c r="B84" s="76"/>
      <c r="C84" s="76"/>
      <c r="D84" s="76"/>
      <c r="E84" s="76"/>
      <c r="F84" s="136"/>
      <c r="G84" s="137"/>
      <c r="H84" s="138"/>
      <c r="I84" s="136"/>
      <c r="J84" s="137"/>
      <c r="K84" s="138"/>
    </row>
    <row r="85" spans="2:11" ht="12.75">
      <c r="B85" s="76"/>
      <c r="C85" s="76"/>
      <c r="D85" s="76"/>
      <c r="E85" s="76"/>
      <c r="F85" s="136"/>
      <c r="G85" s="137"/>
      <c r="H85" s="138"/>
      <c r="I85" s="136"/>
      <c r="J85" s="137"/>
      <c r="K85" s="138"/>
    </row>
    <row r="86" spans="2:11" ht="12.75">
      <c r="B86" s="76"/>
      <c r="C86" s="76"/>
      <c r="D86" s="76"/>
      <c r="E86" s="76"/>
      <c r="F86" s="136"/>
      <c r="G86" s="137"/>
      <c r="H86" s="138"/>
      <c r="I86" s="136"/>
      <c r="J86" s="137"/>
      <c r="K86" s="138"/>
    </row>
    <row r="87" spans="2:11" ht="12.75">
      <c r="B87" s="76"/>
      <c r="C87" s="76"/>
      <c r="D87" s="76"/>
      <c r="E87" s="76"/>
      <c r="F87" s="136"/>
      <c r="G87" s="137"/>
      <c r="H87" s="138"/>
      <c r="I87" s="136"/>
      <c r="J87" s="137"/>
      <c r="K87" s="138"/>
    </row>
    <row r="88" spans="2:11" ht="12.75">
      <c r="B88" s="76"/>
      <c r="C88" s="76"/>
      <c r="D88" s="76"/>
      <c r="E88" s="76"/>
      <c r="F88" s="136"/>
      <c r="G88" s="137"/>
      <c r="H88" s="138"/>
      <c r="I88" s="136"/>
      <c r="J88" s="137"/>
      <c r="K88" s="138"/>
    </row>
    <row r="89" spans="2:11" ht="12.75">
      <c r="B89" s="76"/>
      <c r="C89" s="76"/>
      <c r="D89" s="76"/>
      <c r="E89" s="76"/>
      <c r="F89" s="136"/>
      <c r="G89" s="137"/>
      <c r="H89" s="138"/>
      <c r="I89" s="136"/>
      <c r="J89" s="137"/>
      <c r="K89" s="138"/>
    </row>
    <row r="90" spans="2:11" ht="12.75">
      <c r="B90" s="76"/>
      <c r="C90" s="76"/>
      <c r="D90" s="76"/>
      <c r="E90" s="76"/>
      <c r="F90" s="136"/>
      <c r="G90" s="137"/>
      <c r="H90" s="138"/>
      <c r="I90" s="136"/>
      <c r="J90" s="137"/>
      <c r="K90" s="138"/>
    </row>
    <row r="91" spans="2:11" ht="12.75">
      <c r="B91" s="76"/>
      <c r="C91" s="76"/>
      <c r="D91" s="76"/>
      <c r="E91" s="76"/>
      <c r="F91" s="136"/>
      <c r="G91" s="137"/>
      <c r="H91" s="138"/>
      <c r="I91" s="136"/>
      <c r="J91" s="137"/>
      <c r="K91" s="138"/>
    </row>
    <row r="92" spans="2:11" ht="12.75">
      <c r="B92" s="76"/>
      <c r="C92" s="76"/>
      <c r="D92" s="76"/>
      <c r="E92" s="76"/>
      <c r="F92" s="136"/>
      <c r="G92" s="137"/>
      <c r="H92" s="138"/>
      <c r="I92" s="136"/>
      <c r="J92" s="137"/>
      <c r="K92" s="138"/>
    </row>
    <row r="93" spans="2:11" ht="12.75">
      <c r="B93" s="76"/>
      <c r="C93" s="76"/>
      <c r="D93" s="76"/>
      <c r="E93" s="76"/>
      <c r="F93" s="136"/>
      <c r="G93" s="137"/>
      <c r="H93" s="138"/>
      <c r="I93" s="136"/>
      <c r="J93" s="137"/>
      <c r="K93" s="138"/>
    </row>
  </sheetData>
  <mergeCells count="4">
    <mergeCell ref="F1:G1"/>
    <mergeCell ref="I1:J1"/>
    <mergeCell ref="F3:G3"/>
    <mergeCell ref="I3:J3"/>
  </mergeCells>
  <printOptions/>
  <pageMargins left="0.75" right="0.75" top="1" bottom="1" header="0" footer="0"/>
  <pageSetup orientation="portrait" paperSize="9"/>
</worksheet>
</file>

<file path=xl/worksheets/sheet25.xml><?xml version="1.0" encoding="utf-8"?>
<worksheet xmlns="http://schemas.openxmlformats.org/spreadsheetml/2006/main" xmlns:r="http://schemas.openxmlformats.org/officeDocument/2006/relationships">
  <sheetPr>
    <tabColor indexed="8"/>
  </sheetPr>
  <dimension ref="A1:N149"/>
  <sheetViews>
    <sheetView workbookViewId="0" topLeftCell="A82">
      <selection activeCell="G20" sqref="G20"/>
    </sheetView>
  </sheetViews>
  <sheetFormatPr defaultColWidth="11.421875" defaultRowHeight="12.75"/>
  <cols>
    <col min="1" max="1" width="2.8515625" style="76" customWidth="1"/>
    <col min="2" max="2" width="27.8515625" style="0" customWidth="1"/>
    <col min="3" max="3" width="15.140625" style="0" customWidth="1"/>
    <col min="4" max="4" width="9.00390625" style="0" customWidth="1"/>
    <col min="5" max="5" width="6.00390625" style="0" customWidth="1"/>
    <col min="6" max="6" width="11.421875" style="9" customWidth="1"/>
    <col min="7" max="7" width="20.00390625" style="132" customWidth="1"/>
    <col min="8" max="8" width="5.57421875" style="132" customWidth="1"/>
    <col min="9" max="9" width="6.00390625" style="167" customWidth="1"/>
    <col min="10" max="10" width="24.00390625" style="9" customWidth="1"/>
    <col min="11" max="11" width="5.8515625" style="132" customWidth="1"/>
    <col min="12" max="12" width="5.8515625" style="167" customWidth="1"/>
    <col min="13" max="14" width="11.421875" style="76" customWidth="1"/>
  </cols>
  <sheetData>
    <row r="1" spans="2:12" ht="13.5" thickBot="1">
      <c r="B1" s="76"/>
      <c r="C1" s="76"/>
      <c r="D1" s="76"/>
      <c r="E1" s="76"/>
      <c r="F1" s="793"/>
      <c r="G1" s="794"/>
      <c r="H1" s="212"/>
      <c r="I1" s="149"/>
      <c r="J1" s="793"/>
      <c r="K1" s="794"/>
      <c r="L1" s="149"/>
    </row>
    <row r="2" spans="2:12" ht="18.75" thickBot="1">
      <c r="B2" s="161" t="s">
        <v>271</v>
      </c>
      <c r="C2" s="162"/>
      <c r="D2" s="162"/>
      <c r="E2" s="139" t="s">
        <v>256</v>
      </c>
      <c r="F2" s="803"/>
      <c r="G2" s="804"/>
      <c r="H2" s="214"/>
      <c r="I2" s="147"/>
      <c r="J2" s="805"/>
      <c r="K2" s="806"/>
      <c r="L2" s="148"/>
    </row>
    <row r="3" spans="2:12" ht="6" customHeight="1" thickBot="1">
      <c r="B3" s="253"/>
      <c r="C3" s="76"/>
      <c r="D3" s="76"/>
      <c r="E3" s="147"/>
      <c r="F3" s="213"/>
      <c r="G3" s="214"/>
      <c r="H3" s="214"/>
      <c r="I3" s="147"/>
      <c r="J3" s="210"/>
      <c r="K3" s="211"/>
      <c r="L3" s="148"/>
    </row>
    <row r="4" spans="2:12" ht="16.5" thickBot="1">
      <c r="B4" s="240" t="s">
        <v>248</v>
      </c>
      <c r="C4" s="241"/>
      <c r="D4" s="242"/>
      <c r="E4" s="76"/>
      <c r="F4" s="150"/>
      <c r="G4" s="357" t="s">
        <v>2</v>
      </c>
      <c r="H4" s="137"/>
      <c r="I4" s="138"/>
      <c r="J4" s="136"/>
      <c r="K4" s="137"/>
      <c r="L4" s="151"/>
    </row>
    <row r="5" spans="2:12" ht="16.5" thickBot="1">
      <c r="B5" s="297"/>
      <c r="C5" s="16" t="s">
        <v>499</v>
      </c>
      <c r="D5" s="163"/>
      <c r="E5" s="295"/>
      <c r="F5" s="152"/>
      <c r="G5" s="131"/>
      <c r="H5" s="76"/>
      <c r="I5" s="138"/>
      <c r="J5" s="136"/>
      <c r="K5" s="299"/>
      <c r="L5" s="154"/>
    </row>
    <row r="6" spans="2:12" ht="16.5" thickBot="1">
      <c r="B6" s="298"/>
      <c r="C6" s="234" t="s">
        <v>498</v>
      </c>
      <c r="D6" s="231"/>
      <c r="E6" s="295"/>
      <c r="F6" s="152"/>
      <c r="G6" s="287" t="s">
        <v>496</v>
      </c>
      <c r="H6" s="288"/>
      <c r="I6" s="289"/>
      <c r="K6" s="283"/>
      <c r="L6" s="154"/>
    </row>
    <row r="7" spans="2:12" ht="16.5" thickBot="1">
      <c r="B7" s="296" t="s">
        <v>283</v>
      </c>
      <c r="C7" s="234"/>
      <c r="D7" s="234"/>
      <c r="E7" s="244"/>
      <c r="F7" s="152"/>
      <c r="G7" s="153"/>
      <c r="H7" s="153"/>
      <c r="I7" s="154"/>
      <c r="J7" s="152"/>
      <c r="K7" s="153"/>
      <c r="L7" s="154"/>
    </row>
    <row r="8" spans="2:12" ht="6.75" customHeight="1" thickBot="1">
      <c r="B8" s="201"/>
      <c r="C8" s="140"/>
      <c r="D8" s="140"/>
      <c r="E8" s="79"/>
      <c r="F8" s="221"/>
      <c r="G8" s="153"/>
      <c r="H8" s="153"/>
      <c r="I8" s="154"/>
      <c r="J8" s="152"/>
      <c r="K8" s="153"/>
      <c r="L8" s="154"/>
    </row>
    <row r="9" spans="2:12" ht="16.5" thickBot="1">
      <c r="B9" s="240" t="s">
        <v>250</v>
      </c>
      <c r="C9" s="241"/>
      <c r="D9" s="242"/>
      <c r="E9" s="79"/>
      <c r="F9" s="218"/>
      <c r="G9" s="287" t="s">
        <v>497</v>
      </c>
      <c r="H9" s="288"/>
      <c r="I9" s="289"/>
      <c r="K9" s="283"/>
      <c r="L9" s="157"/>
    </row>
    <row r="10" spans="2:12" ht="16.5" thickBot="1">
      <c r="B10" s="170"/>
      <c r="C10" s="182" t="s">
        <v>251</v>
      </c>
      <c r="D10" s="132"/>
      <c r="E10" s="301"/>
      <c r="F10" s="152"/>
      <c r="G10" s="153"/>
      <c r="H10" s="153"/>
      <c r="I10" s="154"/>
      <c r="J10" s="152"/>
      <c r="K10" s="153"/>
      <c r="L10" s="154"/>
    </row>
    <row r="11" spans="1:14" s="2" customFormat="1" ht="13.5" thickBot="1">
      <c r="A11" s="81"/>
      <c r="B11" s="5"/>
      <c r="C11" s="182" t="s">
        <v>252</v>
      </c>
      <c r="D11" s="243"/>
      <c r="E11" s="302"/>
      <c r="F11" s="171"/>
      <c r="G11" s="287" t="s">
        <v>592</v>
      </c>
      <c r="H11" s="288"/>
      <c r="I11" s="289"/>
      <c r="J11" s="9"/>
      <c r="K11" s="283"/>
      <c r="L11" s="173"/>
      <c r="M11" s="81"/>
      <c r="N11" s="81"/>
    </row>
    <row r="12" spans="1:14" s="2" customFormat="1" ht="13.5" thickBot="1">
      <c r="A12" s="81"/>
      <c r="B12" s="5"/>
      <c r="C12" s="182" t="s">
        <v>264</v>
      </c>
      <c r="D12" s="243"/>
      <c r="E12" s="303"/>
      <c r="F12" s="174"/>
      <c r="G12" s="175"/>
      <c r="H12" s="175"/>
      <c r="I12" s="176"/>
      <c r="J12" s="171"/>
      <c r="K12" s="175"/>
      <c r="L12" s="176"/>
      <c r="M12" s="81"/>
      <c r="N12" s="81"/>
    </row>
    <row r="13" spans="1:14" s="2" customFormat="1" ht="13.5" thickBot="1">
      <c r="A13" s="81"/>
      <c r="B13" s="10"/>
      <c r="C13" s="234" t="s">
        <v>498</v>
      </c>
      <c r="D13" s="231"/>
      <c r="E13" s="295"/>
      <c r="F13" s="171"/>
      <c r="G13" s="172"/>
      <c r="H13" s="172"/>
      <c r="I13" s="173"/>
      <c r="J13" s="171"/>
      <c r="K13" s="172"/>
      <c r="L13" s="173"/>
      <c r="M13" s="81"/>
      <c r="N13" s="81"/>
    </row>
    <row r="14" spans="1:14" s="2" customFormat="1" ht="16.5" thickBot="1">
      <c r="A14" s="81"/>
      <c r="B14" s="296" t="s">
        <v>284</v>
      </c>
      <c r="C14" s="300"/>
      <c r="D14" s="300"/>
      <c r="E14" s="245"/>
      <c r="F14" s="171"/>
      <c r="G14" s="358"/>
      <c r="H14" s="172"/>
      <c r="I14" s="173"/>
      <c r="J14" s="171"/>
      <c r="K14" s="172"/>
      <c r="L14" s="173"/>
      <c r="M14" s="81"/>
      <c r="N14" s="81"/>
    </row>
    <row r="15" spans="1:14" s="2" customFormat="1" ht="7.5" customHeight="1" thickBot="1">
      <c r="A15" s="81"/>
      <c r="B15" s="201"/>
      <c r="C15" s="249"/>
      <c r="D15" s="249"/>
      <c r="E15" s="250"/>
      <c r="F15" s="87"/>
      <c r="G15" s="172"/>
      <c r="H15" s="172"/>
      <c r="I15" s="173"/>
      <c r="J15" s="171"/>
      <c r="K15" s="172"/>
      <c r="L15" s="173"/>
      <c r="M15" s="81"/>
      <c r="N15" s="81"/>
    </row>
    <row r="16" spans="2:12" ht="16.5" thickBot="1">
      <c r="B16" s="240" t="s">
        <v>253</v>
      </c>
      <c r="C16" s="241"/>
      <c r="D16" s="241"/>
      <c r="E16" s="255"/>
      <c r="F16" s="218"/>
      <c r="G16" s="156"/>
      <c r="H16" s="156"/>
      <c r="I16" s="157"/>
      <c r="J16" s="155"/>
      <c r="K16" s="156"/>
      <c r="L16" s="157"/>
    </row>
    <row r="17" spans="2:12" ht="13.5" thickBot="1">
      <c r="B17" s="9"/>
      <c r="C17" s="182" t="s">
        <v>254</v>
      </c>
      <c r="D17" s="6"/>
      <c r="E17" s="246"/>
      <c r="F17" s="221"/>
      <c r="G17" s="131"/>
      <c r="H17" s="76"/>
      <c r="I17" s="138"/>
      <c r="J17" s="136"/>
      <c r="K17" s="252"/>
      <c r="L17" s="154"/>
    </row>
    <row r="18" spans="2:12" ht="13.5" thickBot="1">
      <c r="B18" s="133"/>
      <c r="C18" s="254" t="s">
        <v>255</v>
      </c>
      <c r="D18" s="134"/>
      <c r="E18" s="247"/>
      <c r="F18" s="222"/>
      <c r="G18" s="159"/>
      <c r="H18" s="159"/>
      <c r="I18" s="160"/>
      <c r="J18" s="158"/>
      <c r="K18" s="159"/>
      <c r="L18" s="160"/>
    </row>
    <row r="19" spans="2:12" ht="16.5" thickBot="1">
      <c r="B19" s="168" t="s">
        <v>285</v>
      </c>
      <c r="C19" s="189"/>
      <c r="D19" s="189"/>
      <c r="E19" s="244"/>
      <c r="F19" s="221"/>
      <c r="G19" s="153"/>
      <c r="H19" s="221"/>
      <c r="I19" s="152"/>
      <c r="J19" s="152"/>
      <c r="K19" s="153"/>
      <c r="L19" s="154"/>
    </row>
    <row r="20" spans="2:12" ht="6.75" customHeight="1" thickBot="1">
      <c r="B20" s="251"/>
      <c r="C20" s="87"/>
      <c r="D20" s="87"/>
      <c r="E20" s="252"/>
      <c r="F20" s="221"/>
      <c r="G20" s="153"/>
      <c r="H20" s="221"/>
      <c r="I20" s="152"/>
      <c r="J20" s="152"/>
      <c r="K20" s="153"/>
      <c r="L20" s="154"/>
    </row>
    <row r="21" spans="2:12" ht="16.5" thickBot="1">
      <c r="B21" s="240" t="s">
        <v>249</v>
      </c>
      <c r="C21" s="241"/>
      <c r="D21" s="242"/>
      <c r="E21" s="271"/>
      <c r="F21" s="221"/>
      <c r="G21" s="153"/>
      <c r="H21" s="221"/>
      <c r="I21" s="152"/>
      <c r="J21" s="152"/>
      <c r="K21" s="153"/>
      <c r="L21" s="154"/>
    </row>
    <row r="22" spans="2:12" ht="16.5" thickBot="1">
      <c r="B22" s="297"/>
      <c r="C22" s="16" t="s">
        <v>499</v>
      </c>
      <c r="D22" s="163"/>
      <c r="E22" s="244"/>
      <c r="F22" s="221"/>
      <c r="G22" s="153"/>
      <c r="H22" s="221"/>
      <c r="I22" s="152"/>
      <c r="J22" s="152"/>
      <c r="K22" s="153"/>
      <c r="L22" s="154"/>
    </row>
    <row r="23" spans="2:12" ht="16.5" thickBot="1">
      <c r="B23" s="298"/>
      <c r="C23" s="234" t="s">
        <v>498</v>
      </c>
      <c r="D23" s="231"/>
      <c r="E23" s="304"/>
      <c r="F23" s="221"/>
      <c r="G23" s="153"/>
      <c r="H23" s="221"/>
      <c r="I23" s="152"/>
      <c r="J23" s="152"/>
      <c r="K23" s="153"/>
      <c r="L23" s="154"/>
    </row>
    <row r="24" spans="2:12" ht="12.75">
      <c r="B24" s="136"/>
      <c r="C24" s="77"/>
      <c r="D24" s="77"/>
      <c r="E24" s="77"/>
      <c r="F24" s="136"/>
      <c r="G24" s="187"/>
      <c r="H24" s="225"/>
      <c r="I24" s="136"/>
      <c r="J24" s="136"/>
      <c r="K24" s="187"/>
      <c r="L24" s="138"/>
    </row>
    <row r="25" spans="2:12" ht="18.75" thickBot="1">
      <c r="B25" s="161" t="s">
        <v>270</v>
      </c>
      <c r="C25" s="177"/>
      <c r="D25" s="177"/>
      <c r="E25" s="177"/>
      <c r="F25" s="799" t="s">
        <v>195</v>
      </c>
      <c r="G25" s="800"/>
      <c r="H25" s="807" t="s">
        <v>256</v>
      </c>
      <c r="I25" s="800"/>
      <c r="J25" s="294" t="s">
        <v>197</v>
      </c>
      <c r="K25" s="810" t="s">
        <v>256</v>
      </c>
      <c r="L25" s="800"/>
    </row>
    <row r="26" spans="2:12" ht="16.5" thickBot="1">
      <c r="B26" s="240" t="s">
        <v>257</v>
      </c>
      <c r="C26" s="241"/>
      <c r="D26" s="241"/>
      <c r="E26" s="242"/>
      <c r="F26" s="4"/>
      <c r="G26" s="4"/>
      <c r="H26" s="226" t="s">
        <v>216</v>
      </c>
      <c r="I26" s="227" t="s">
        <v>217</v>
      </c>
      <c r="J26" s="11"/>
      <c r="K26" s="309" t="s">
        <v>218</v>
      </c>
      <c r="L26" s="310" t="s">
        <v>219</v>
      </c>
    </row>
    <row r="27" spans="2:12" ht="12.75">
      <c r="B27" s="9"/>
      <c r="C27" s="6"/>
      <c r="D27" s="6"/>
      <c r="E27" s="132"/>
      <c r="F27" s="182" t="s">
        <v>258</v>
      </c>
      <c r="G27" s="6"/>
      <c r="H27" s="246"/>
      <c r="I27" s="246"/>
      <c r="J27" s="209" t="s">
        <v>265</v>
      </c>
      <c r="K27" s="308"/>
      <c r="L27" s="220"/>
    </row>
    <row r="28" spans="2:12" ht="12.75">
      <c r="B28" s="5" t="s">
        <v>424</v>
      </c>
      <c r="C28" s="6"/>
      <c r="D28" s="6"/>
      <c r="E28" s="132"/>
      <c r="F28" s="182" t="s">
        <v>336</v>
      </c>
      <c r="G28" s="6"/>
      <c r="H28" s="285"/>
      <c r="I28" s="285"/>
      <c r="J28" s="306" t="s">
        <v>344</v>
      </c>
      <c r="K28" s="230"/>
      <c r="L28" s="180"/>
    </row>
    <row r="29" spans="2:12" ht="12.75">
      <c r="B29" s="5"/>
      <c r="C29" s="6"/>
      <c r="D29" s="6"/>
      <c r="E29" s="132"/>
      <c r="F29" s="182" t="s">
        <v>337</v>
      </c>
      <c r="G29" s="6"/>
      <c r="H29" s="285"/>
      <c r="I29" s="285"/>
      <c r="J29" s="209" t="s">
        <v>266</v>
      </c>
      <c r="K29" s="230"/>
      <c r="L29" s="180"/>
    </row>
    <row r="30" spans="2:12" ht="12.75">
      <c r="B30" s="290" t="s">
        <v>423</v>
      </c>
      <c r="C30" s="6"/>
      <c r="D30" s="6"/>
      <c r="E30" s="132"/>
      <c r="F30" s="182" t="s">
        <v>338</v>
      </c>
      <c r="G30" s="6"/>
      <c r="H30" s="285"/>
      <c r="I30" s="285"/>
      <c r="J30" s="216" t="s">
        <v>345</v>
      </c>
      <c r="K30" s="230"/>
      <c r="L30" s="180"/>
    </row>
    <row r="31" spans="2:12" ht="12.75">
      <c r="B31" s="9"/>
      <c r="C31" s="6"/>
      <c r="D31" s="6"/>
      <c r="E31" s="132"/>
      <c r="F31" s="182" t="s">
        <v>339</v>
      </c>
      <c r="G31" s="6"/>
      <c r="H31" s="285"/>
      <c r="I31" s="285"/>
      <c r="J31" s="209" t="s">
        <v>267</v>
      </c>
      <c r="K31" s="230"/>
      <c r="L31" s="180"/>
    </row>
    <row r="32" spans="2:12" ht="12.75">
      <c r="B32" s="312" t="s">
        <v>511</v>
      </c>
      <c r="C32" s="6"/>
      <c r="D32" s="16"/>
      <c r="E32" s="286"/>
      <c r="F32" s="182" t="s">
        <v>274</v>
      </c>
      <c r="G32" s="6"/>
      <c r="H32" s="285"/>
      <c r="I32" s="285"/>
      <c r="J32" s="209" t="s">
        <v>510</v>
      </c>
      <c r="K32" s="230"/>
      <c r="L32" s="180"/>
    </row>
    <row r="33" spans="2:12" ht="12.75">
      <c r="B33" s="5"/>
      <c r="C33" s="6"/>
      <c r="D33" s="6"/>
      <c r="E33" s="132"/>
      <c r="F33" s="182" t="s">
        <v>340</v>
      </c>
      <c r="G33" s="6"/>
      <c r="H33" s="324"/>
      <c r="I33" s="324"/>
      <c r="J33" s="209" t="s">
        <v>268</v>
      </c>
      <c r="K33" s="235"/>
      <c r="L33" s="180"/>
    </row>
    <row r="34" spans="2:12" ht="12.75">
      <c r="B34" s="313" t="s">
        <v>512</v>
      </c>
      <c r="C34" s="6"/>
      <c r="D34" s="6"/>
      <c r="E34" s="132"/>
      <c r="F34" s="182" t="s">
        <v>341</v>
      </c>
      <c r="G34" s="6"/>
      <c r="H34" s="324"/>
      <c r="I34" s="324"/>
      <c r="J34" s="209" t="s">
        <v>508</v>
      </c>
      <c r="K34" s="235"/>
      <c r="L34" s="180"/>
    </row>
    <row r="35" spans="2:12" ht="12.75">
      <c r="B35" s="9"/>
      <c r="C35" s="6"/>
      <c r="D35" s="6"/>
      <c r="E35" s="132"/>
      <c r="F35" s="182" t="s">
        <v>342</v>
      </c>
      <c r="G35" s="6"/>
      <c r="H35" s="324"/>
      <c r="I35" s="324"/>
      <c r="J35" s="209" t="s">
        <v>269</v>
      </c>
      <c r="K35" s="235"/>
      <c r="L35" s="180"/>
    </row>
    <row r="36" spans="2:12" ht="13.5" thickBot="1">
      <c r="B36" s="9"/>
      <c r="C36" s="6"/>
      <c r="D36" s="6"/>
      <c r="E36" s="132"/>
      <c r="F36" s="182" t="s">
        <v>343</v>
      </c>
      <c r="G36" s="6"/>
      <c r="H36" s="323"/>
      <c r="I36" s="323"/>
      <c r="J36" s="209" t="s">
        <v>507</v>
      </c>
      <c r="K36" s="235"/>
      <c r="L36" s="180"/>
    </row>
    <row r="37" spans="2:12" ht="12.75">
      <c r="B37" s="9"/>
      <c r="C37" s="6"/>
      <c r="D37" s="6"/>
      <c r="E37" s="132"/>
      <c r="F37" s="182"/>
      <c r="G37" s="6"/>
      <c r="H37" s="16"/>
      <c r="I37" s="163"/>
      <c r="J37" s="209" t="s">
        <v>169</v>
      </c>
      <c r="K37" s="235"/>
      <c r="L37" s="180"/>
    </row>
    <row r="38" spans="2:12" ht="13.5" thickBot="1">
      <c r="B38" s="133"/>
      <c r="C38" s="134"/>
      <c r="D38" s="134"/>
      <c r="E38" s="135"/>
      <c r="F38" s="134"/>
      <c r="G38" s="134"/>
      <c r="H38" s="234"/>
      <c r="I38" s="231"/>
      <c r="J38" s="307" t="s">
        <v>509</v>
      </c>
      <c r="K38" s="236"/>
      <c r="L38" s="183"/>
    </row>
    <row r="39" spans="2:12" ht="16.5" thickBot="1">
      <c r="B39" s="169" t="s">
        <v>273</v>
      </c>
      <c r="C39" s="4"/>
      <c r="D39" s="4"/>
      <c r="E39" s="20"/>
      <c r="F39" s="6"/>
      <c r="H39" s="232" t="s">
        <v>216</v>
      </c>
      <c r="I39" s="233" t="s">
        <v>217</v>
      </c>
      <c r="J39" s="11"/>
      <c r="K39" s="309" t="s">
        <v>218</v>
      </c>
      <c r="L39" s="310" t="s">
        <v>219</v>
      </c>
    </row>
    <row r="40" spans="2:12" ht="12.75">
      <c r="B40" s="9"/>
      <c r="C40" s="6"/>
      <c r="D40" s="6"/>
      <c r="E40" s="132"/>
      <c r="F40" s="182" t="s">
        <v>258</v>
      </c>
      <c r="H40" s="219"/>
      <c r="I40" s="219"/>
      <c r="J40" s="178" t="s">
        <v>275</v>
      </c>
      <c r="K40" s="308"/>
      <c r="L40" s="220"/>
    </row>
    <row r="41" spans="2:12" ht="12.75">
      <c r="B41" s="5" t="s">
        <v>424</v>
      </c>
      <c r="C41" s="6"/>
      <c r="D41" s="6"/>
      <c r="E41" s="132"/>
      <c r="F41" s="182" t="s">
        <v>336</v>
      </c>
      <c r="H41" s="180"/>
      <c r="I41" s="180"/>
      <c r="J41" s="178" t="s">
        <v>354</v>
      </c>
      <c r="K41" s="230"/>
      <c r="L41" s="180"/>
    </row>
    <row r="42" spans="2:12" ht="12.75">
      <c r="B42" s="5"/>
      <c r="C42" s="6"/>
      <c r="D42" s="6"/>
      <c r="E42" s="132"/>
      <c r="F42" s="182" t="s">
        <v>337</v>
      </c>
      <c r="H42" s="180"/>
      <c r="I42" s="180"/>
      <c r="J42" s="178" t="s">
        <v>505</v>
      </c>
      <c r="K42" s="230"/>
      <c r="L42" s="180"/>
    </row>
    <row r="43" spans="2:12" ht="13.5" thickBot="1">
      <c r="B43" s="290" t="s">
        <v>423</v>
      </c>
      <c r="C43" s="6"/>
      <c r="D43" s="6"/>
      <c r="E43" s="132"/>
      <c r="F43" s="182" t="s">
        <v>338</v>
      </c>
      <c r="H43" s="180"/>
      <c r="I43" s="180"/>
      <c r="J43" s="209" t="s">
        <v>506</v>
      </c>
      <c r="K43" s="236"/>
      <c r="L43" s="183"/>
    </row>
    <row r="44" spans="2:12" ht="12.75">
      <c r="B44" s="9"/>
      <c r="C44" s="6"/>
      <c r="D44" s="6"/>
      <c r="E44" s="132"/>
      <c r="F44" s="182" t="s">
        <v>339</v>
      </c>
      <c r="H44" s="180"/>
      <c r="I44" s="180"/>
      <c r="J44" s="178"/>
      <c r="K44" s="6"/>
      <c r="L44" s="163"/>
    </row>
    <row r="45" spans="2:12" ht="12.75">
      <c r="B45" s="312" t="s">
        <v>511</v>
      </c>
      <c r="C45" s="16"/>
      <c r="D45" s="16"/>
      <c r="E45" s="286"/>
      <c r="F45" s="182" t="s">
        <v>274</v>
      </c>
      <c r="H45" s="180"/>
      <c r="I45" s="180"/>
      <c r="K45" s="6"/>
      <c r="L45" s="163"/>
    </row>
    <row r="46" spans="2:12" ht="12.75">
      <c r="B46" s="5"/>
      <c r="C46" s="6"/>
      <c r="D46" s="6"/>
      <c r="E46" s="132"/>
      <c r="F46" s="182" t="s">
        <v>340</v>
      </c>
      <c r="H46" s="180"/>
      <c r="I46" s="180"/>
      <c r="K46" s="6"/>
      <c r="L46" s="163"/>
    </row>
    <row r="47" spans="2:12" ht="12.75">
      <c r="B47" s="313" t="s">
        <v>512</v>
      </c>
      <c r="C47" s="6"/>
      <c r="D47" s="6"/>
      <c r="E47" s="132"/>
      <c r="F47" s="182" t="s">
        <v>341</v>
      </c>
      <c r="H47" s="180"/>
      <c r="I47" s="180"/>
      <c r="K47" s="6"/>
      <c r="L47" s="163"/>
    </row>
    <row r="48" spans="2:12" ht="12.75">
      <c r="B48" s="9"/>
      <c r="C48" s="6"/>
      <c r="D48" s="6"/>
      <c r="E48" s="132"/>
      <c r="F48" s="182" t="s">
        <v>342</v>
      </c>
      <c r="H48" s="180"/>
      <c r="I48" s="180"/>
      <c r="K48" s="6"/>
      <c r="L48" s="163"/>
    </row>
    <row r="49" spans="2:12" ht="13.5" thickBot="1">
      <c r="B49" s="9"/>
      <c r="C49" s="6"/>
      <c r="D49" s="6"/>
      <c r="E49" s="132"/>
      <c r="F49" s="182" t="s">
        <v>343</v>
      </c>
      <c r="H49" s="180"/>
      <c r="I49" s="184"/>
      <c r="K49" s="6"/>
      <c r="L49" s="163"/>
    </row>
    <row r="50" spans="2:12" ht="12.75">
      <c r="B50" s="9"/>
      <c r="C50" s="6"/>
      <c r="D50" s="6"/>
      <c r="E50" s="132"/>
      <c r="F50" s="182" t="s">
        <v>259</v>
      </c>
      <c r="H50" s="235"/>
      <c r="I50" s="165"/>
      <c r="J50" s="6"/>
      <c r="K50" s="6"/>
      <c r="L50" s="163"/>
    </row>
    <row r="51" spans="2:12" ht="12.75">
      <c r="B51" s="9"/>
      <c r="C51" s="6"/>
      <c r="D51" s="6"/>
      <c r="E51" s="132"/>
      <c r="F51" s="6" t="s">
        <v>276</v>
      </c>
      <c r="H51" s="235"/>
      <c r="I51" s="164"/>
      <c r="J51" s="6"/>
      <c r="K51" s="6"/>
      <c r="L51" s="163"/>
    </row>
    <row r="52" spans="2:12" ht="12.75">
      <c r="B52" s="9"/>
      <c r="C52" s="6"/>
      <c r="D52" s="6"/>
      <c r="E52" s="132"/>
      <c r="F52" s="182" t="s">
        <v>350</v>
      </c>
      <c r="H52" s="235"/>
      <c r="I52" s="164"/>
      <c r="J52" s="6"/>
      <c r="K52" s="6"/>
      <c r="L52" s="163"/>
    </row>
    <row r="53" spans="2:12" ht="12.75">
      <c r="B53" s="9"/>
      <c r="C53" s="6"/>
      <c r="D53" s="6"/>
      <c r="E53" s="132"/>
      <c r="F53" s="182" t="s">
        <v>351</v>
      </c>
      <c r="H53" s="235"/>
      <c r="I53" s="164"/>
      <c r="J53" s="6"/>
      <c r="K53" s="6"/>
      <c r="L53" s="163"/>
    </row>
    <row r="54" spans="2:12" ht="12.75">
      <c r="B54" s="9"/>
      <c r="C54" s="6"/>
      <c r="D54" s="6"/>
      <c r="E54" s="132"/>
      <c r="F54" s="182" t="s">
        <v>352</v>
      </c>
      <c r="H54" s="235"/>
      <c r="I54" s="164"/>
      <c r="J54" s="6"/>
      <c r="K54" s="6"/>
      <c r="L54" s="163"/>
    </row>
    <row r="55" spans="2:12" ht="13.5" thickBot="1">
      <c r="B55" s="133"/>
      <c r="C55" s="134"/>
      <c r="D55" s="134"/>
      <c r="E55" s="135"/>
      <c r="F55" s="254" t="s">
        <v>353</v>
      </c>
      <c r="G55" s="135"/>
      <c r="H55" s="236"/>
      <c r="I55" s="166"/>
      <c r="J55" s="134"/>
      <c r="K55" s="134"/>
      <c r="L55" s="231"/>
    </row>
    <row r="56" spans="2:12" ht="16.5" thickBot="1">
      <c r="B56" s="169" t="s">
        <v>272</v>
      </c>
      <c r="C56" s="4"/>
      <c r="D56" s="4"/>
      <c r="E56" s="20"/>
      <c r="F56" s="6"/>
      <c r="G56" s="6"/>
      <c r="H56" s="226" t="s">
        <v>216</v>
      </c>
      <c r="I56" s="237" t="s">
        <v>217</v>
      </c>
      <c r="K56" s="309" t="s">
        <v>218</v>
      </c>
      <c r="L56" s="311" t="s">
        <v>219</v>
      </c>
    </row>
    <row r="57" spans="2:12" ht="15.75">
      <c r="B57" s="170"/>
      <c r="C57" s="6"/>
      <c r="D57" s="6"/>
      <c r="E57" s="132"/>
      <c r="F57" s="182" t="s">
        <v>258</v>
      </c>
      <c r="G57" s="6"/>
      <c r="H57" s="219"/>
      <c r="I57" s="229"/>
      <c r="J57" s="178" t="s">
        <v>275</v>
      </c>
      <c r="K57" s="308"/>
      <c r="L57" s="220"/>
    </row>
    <row r="58" spans="2:12" ht="12.75">
      <c r="B58" s="5" t="s">
        <v>424</v>
      </c>
      <c r="C58" s="6"/>
      <c r="D58" s="6"/>
      <c r="E58" s="132"/>
      <c r="F58" s="182" t="s">
        <v>336</v>
      </c>
      <c r="G58" s="6"/>
      <c r="H58" s="180"/>
      <c r="I58" s="230"/>
      <c r="J58" s="178" t="s">
        <v>354</v>
      </c>
      <c r="K58" s="230"/>
      <c r="L58" s="180"/>
    </row>
    <row r="59" spans="2:12" ht="12.75">
      <c r="B59" s="5"/>
      <c r="C59" s="6"/>
      <c r="D59" s="6"/>
      <c r="E59" s="132"/>
      <c r="F59" s="182" t="s">
        <v>337</v>
      </c>
      <c r="G59" s="6"/>
      <c r="H59" s="180"/>
      <c r="I59" s="230"/>
      <c r="J59" s="178" t="s">
        <v>505</v>
      </c>
      <c r="K59" s="230"/>
      <c r="L59" s="180"/>
    </row>
    <row r="60" spans="2:12" ht="13.5" thickBot="1">
      <c r="B60" s="290" t="s">
        <v>423</v>
      </c>
      <c r="C60" s="6"/>
      <c r="D60" s="6"/>
      <c r="E60" s="132"/>
      <c r="F60" s="182" t="s">
        <v>338</v>
      </c>
      <c r="G60" s="6"/>
      <c r="H60" s="180"/>
      <c r="I60" s="230"/>
      <c r="J60" s="209" t="s">
        <v>506</v>
      </c>
      <c r="K60" s="236"/>
      <c r="L60" s="183"/>
    </row>
    <row r="61" spans="2:12" ht="15.75">
      <c r="B61" s="170"/>
      <c r="C61" s="6"/>
      <c r="D61" s="6"/>
      <c r="E61" s="132"/>
      <c r="F61" s="182" t="s">
        <v>339</v>
      </c>
      <c r="G61" s="6"/>
      <c r="H61" s="180"/>
      <c r="I61" s="230"/>
      <c r="K61" s="6"/>
      <c r="L61" s="163"/>
    </row>
    <row r="62" spans="2:12" ht="12.75">
      <c r="B62" s="312" t="s">
        <v>511</v>
      </c>
      <c r="C62" s="16"/>
      <c r="D62" s="16"/>
      <c r="E62" s="286"/>
      <c r="F62" s="182" t="s">
        <v>274</v>
      </c>
      <c r="G62" s="6"/>
      <c r="H62" s="180"/>
      <c r="I62" s="230"/>
      <c r="K62" s="6"/>
      <c r="L62" s="163"/>
    </row>
    <row r="63" spans="2:12" ht="12.75">
      <c r="B63" s="5"/>
      <c r="C63" s="6"/>
      <c r="D63" s="6"/>
      <c r="E63" s="132"/>
      <c r="F63" s="182" t="s">
        <v>340</v>
      </c>
      <c r="G63" s="6"/>
      <c r="H63" s="180"/>
      <c r="I63" s="230"/>
      <c r="K63" s="6"/>
      <c r="L63" s="163"/>
    </row>
    <row r="64" spans="2:12" ht="12.75">
      <c r="B64" s="313" t="s">
        <v>512</v>
      </c>
      <c r="C64" s="6"/>
      <c r="D64" s="6"/>
      <c r="E64" s="132"/>
      <c r="F64" s="182" t="s">
        <v>341</v>
      </c>
      <c r="G64" s="6"/>
      <c r="H64" s="180"/>
      <c r="I64" s="230"/>
      <c r="K64" s="6"/>
      <c r="L64" s="163"/>
    </row>
    <row r="65" spans="2:12" ht="15.75">
      <c r="B65" s="170"/>
      <c r="C65" s="6"/>
      <c r="D65" s="6"/>
      <c r="E65" s="132"/>
      <c r="F65" s="182" t="s">
        <v>342</v>
      </c>
      <c r="G65" s="6"/>
      <c r="H65" s="180"/>
      <c r="I65" s="230"/>
      <c r="K65" s="6"/>
      <c r="L65" s="163"/>
    </row>
    <row r="66" spans="2:12" ht="13.5" thickBot="1">
      <c r="B66" s="9"/>
      <c r="C66" s="6"/>
      <c r="D66" s="6"/>
      <c r="E66" s="132"/>
      <c r="F66" s="182" t="s">
        <v>343</v>
      </c>
      <c r="G66" s="6"/>
      <c r="H66" s="180"/>
      <c r="I66" s="235"/>
      <c r="K66" s="6"/>
      <c r="L66" s="163"/>
    </row>
    <row r="67" spans="2:12" ht="12.75">
      <c r="B67" s="9"/>
      <c r="C67" s="6"/>
      <c r="D67" s="6"/>
      <c r="E67" s="132"/>
      <c r="F67" s="6" t="s">
        <v>276</v>
      </c>
      <c r="G67" s="6"/>
      <c r="H67" s="230"/>
      <c r="I67" s="165"/>
      <c r="J67" s="6"/>
      <c r="K67" s="6"/>
      <c r="L67" s="163"/>
    </row>
    <row r="68" spans="2:12" ht="12.75">
      <c r="B68" s="9"/>
      <c r="C68" s="6"/>
      <c r="D68" s="6"/>
      <c r="E68" s="132"/>
      <c r="F68" s="182" t="s">
        <v>350</v>
      </c>
      <c r="G68" s="6"/>
      <c r="H68" s="230"/>
      <c r="I68" s="164"/>
      <c r="J68" s="6"/>
      <c r="K68" s="6"/>
      <c r="L68" s="163"/>
    </row>
    <row r="69" spans="2:12" ht="12.75">
      <c r="B69" s="9"/>
      <c r="C69" s="6"/>
      <c r="D69" s="6"/>
      <c r="E69" s="132"/>
      <c r="F69" s="182" t="s">
        <v>351</v>
      </c>
      <c r="G69" s="6"/>
      <c r="H69" s="230"/>
      <c r="I69" s="164"/>
      <c r="J69" s="6"/>
      <c r="K69" s="6"/>
      <c r="L69" s="163"/>
    </row>
    <row r="70" spans="2:12" ht="12.75">
      <c r="B70" s="9"/>
      <c r="C70" s="6"/>
      <c r="D70" s="6"/>
      <c r="E70" s="132"/>
      <c r="F70" s="182" t="s">
        <v>352</v>
      </c>
      <c r="G70" s="6"/>
      <c r="H70" s="235"/>
      <c r="I70" s="164"/>
      <c r="J70" s="6"/>
      <c r="K70" s="6"/>
      <c r="L70" s="163"/>
    </row>
    <row r="71" spans="2:12" ht="13.5" thickBot="1">
      <c r="B71" s="133"/>
      <c r="C71" s="134"/>
      <c r="D71" s="134"/>
      <c r="E71" s="135"/>
      <c r="F71" s="254" t="s">
        <v>353</v>
      </c>
      <c r="G71" s="134"/>
      <c r="H71" s="236"/>
      <c r="I71" s="166"/>
      <c r="J71" s="6"/>
      <c r="K71" s="6"/>
      <c r="L71" s="163"/>
    </row>
    <row r="72" spans="2:12" ht="16.5" thickBot="1">
      <c r="B72" s="169" t="s">
        <v>277</v>
      </c>
      <c r="C72" s="4"/>
      <c r="D72" s="4"/>
      <c r="E72" s="20"/>
      <c r="F72" s="6"/>
      <c r="H72" s="226" t="s">
        <v>216</v>
      </c>
      <c r="I72" s="237" t="s">
        <v>217</v>
      </c>
      <c r="J72" s="11"/>
      <c r="K72" s="309" t="s">
        <v>218</v>
      </c>
      <c r="L72" s="311" t="s">
        <v>219</v>
      </c>
    </row>
    <row r="73" spans="2:12" ht="12.75">
      <c r="B73" s="9"/>
      <c r="C73" s="6"/>
      <c r="D73" s="6"/>
      <c r="E73" s="132"/>
      <c r="F73" s="182" t="s">
        <v>258</v>
      </c>
      <c r="H73" s="180"/>
      <c r="I73" s="230"/>
      <c r="J73" s="209" t="s">
        <v>515</v>
      </c>
      <c r="K73" s="308"/>
      <c r="L73" s="220"/>
    </row>
    <row r="74" spans="2:12" ht="13.5" thickBot="1">
      <c r="B74" s="5" t="s">
        <v>424</v>
      </c>
      <c r="C74" s="6"/>
      <c r="D74" s="6"/>
      <c r="E74" s="132"/>
      <c r="F74" s="182" t="s">
        <v>336</v>
      </c>
      <c r="H74" s="180"/>
      <c r="I74" s="230"/>
      <c r="J74" s="209" t="s">
        <v>516</v>
      </c>
      <c r="K74" s="236"/>
      <c r="L74" s="183"/>
    </row>
    <row r="75" spans="2:12" ht="13.5" thickBot="1">
      <c r="B75" s="5"/>
      <c r="C75" s="6"/>
      <c r="D75" s="6"/>
      <c r="E75" s="132"/>
      <c r="F75" s="182" t="s">
        <v>524</v>
      </c>
      <c r="H75" s="180"/>
      <c r="I75" s="230"/>
      <c r="J75" s="209" t="s">
        <v>514</v>
      </c>
      <c r="K75" s="236"/>
      <c r="L75" s="183"/>
    </row>
    <row r="76" spans="2:12" ht="12.75">
      <c r="B76" s="290" t="s">
        <v>423</v>
      </c>
      <c r="C76" s="6"/>
      <c r="D76" s="6"/>
      <c r="E76" s="132"/>
      <c r="F76" s="182" t="s">
        <v>525</v>
      </c>
      <c r="H76" s="180"/>
      <c r="I76" s="230"/>
      <c r="J76" s="178"/>
      <c r="K76" s="6"/>
      <c r="L76" s="163"/>
    </row>
    <row r="77" spans="2:12" ht="12.75">
      <c r="B77" s="9"/>
      <c r="C77" s="6"/>
      <c r="D77" s="6"/>
      <c r="E77" s="132"/>
      <c r="F77" s="182" t="s">
        <v>526</v>
      </c>
      <c r="H77" s="180"/>
      <c r="I77" s="230"/>
      <c r="J77" s="178"/>
      <c r="K77" s="6"/>
      <c r="L77" s="163"/>
    </row>
    <row r="78" spans="2:12" ht="12.75">
      <c r="B78" s="312" t="s">
        <v>511</v>
      </c>
      <c r="C78" s="16"/>
      <c r="D78" s="16"/>
      <c r="E78" s="286"/>
      <c r="F78" s="182" t="s">
        <v>274</v>
      </c>
      <c r="H78" s="180"/>
      <c r="I78" s="230"/>
      <c r="J78" s="178"/>
      <c r="K78" s="6"/>
      <c r="L78" s="163"/>
    </row>
    <row r="79" spans="2:12" ht="12.75">
      <c r="B79" s="5"/>
      <c r="C79" s="6"/>
      <c r="D79" s="6"/>
      <c r="E79" s="132"/>
      <c r="F79" s="182" t="s">
        <v>340</v>
      </c>
      <c r="H79" s="180"/>
      <c r="I79" s="230"/>
      <c r="J79" s="178"/>
      <c r="K79" s="6"/>
      <c r="L79" s="163"/>
    </row>
    <row r="80" spans="2:12" ht="12.75">
      <c r="B80" s="313" t="s">
        <v>512</v>
      </c>
      <c r="C80" s="6"/>
      <c r="D80" s="6"/>
      <c r="E80" s="132"/>
      <c r="F80" s="182" t="s">
        <v>341</v>
      </c>
      <c r="H80" s="180"/>
      <c r="I80" s="230"/>
      <c r="J80" s="178"/>
      <c r="K80" s="6"/>
      <c r="L80" s="163"/>
    </row>
    <row r="81" spans="2:12" ht="12.75">
      <c r="B81" s="9"/>
      <c r="C81" s="6"/>
      <c r="D81" s="6"/>
      <c r="E81" s="132"/>
      <c r="F81" s="182" t="s">
        <v>342</v>
      </c>
      <c r="H81" s="180"/>
      <c r="I81" s="230"/>
      <c r="J81" s="178"/>
      <c r="K81" s="6"/>
      <c r="L81" s="163"/>
    </row>
    <row r="82" spans="2:12" ht="13.5" thickBot="1">
      <c r="B82" s="9"/>
      <c r="C82" s="6"/>
      <c r="D82" s="6"/>
      <c r="E82" s="132"/>
      <c r="F82" s="182" t="s">
        <v>343</v>
      </c>
      <c r="H82" s="180"/>
      <c r="I82" s="235"/>
      <c r="J82" s="178"/>
      <c r="K82" s="6"/>
      <c r="L82" s="163"/>
    </row>
    <row r="83" spans="2:12" ht="12.75">
      <c r="B83" s="9"/>
      <c r="C83" s="6"/>
      <c r="D83" s="6"/>
      <c r="E83" s="132"/>
      <c r="F83" s="182" t="s">
        <v>259</v>
      </c>
      <c r="H83" s="230"/>
      <c r="I83" s="238"/>
      <c r="J83" s="178"/>
      <c r="K83" s="6"/>
      <c r="L83" s="163"/>
    </row>
    <row r="84" spans="2:12" ht="12.75">
      <c r="B84" s="9"/>
      <c r="C84" s="6"/>
      <c r="D84" s="6"/>
      <c r="E84" s="132"/>
      <c r="F84" s="6" t="s">
        <v>276</v>
      </c>
      <c r="H84" s="230"/>
      <c r="I84" s="146"/>
      <c r="K84" s="6"/>
      <c r="L84" s="163"/>
    </row>
    <row r="85" spans="2:12" ht="12.75">
      <c r="B85" s="9"/>
      <c r="C85" s="6"/>
      <c r="D85" s="6"/>
      <c r="E85" s="132"/>
      <c r="F85" s="182" t="s">
        <v>350</v>
      </c>
      <c r="H85" s="230"/>
      <c r="I85" s="146"/>
      <c r="K85" s="6"/>
      <c r="L85" s="163"/>
    </row>
    <row r="86" spans="2:12" ht="12.75">
      <c r="B86" s="9"/>
      <c r="C86" s="6"/>
      <c r="D86" s="6"/>
      <c r="E86" s="132"/>
      <c r="F86" s="182" t="s">
        <v>351</v>
      </c>
      <c r="H86" s="230"/>
      <c r="I86" s="146"/>
      <c r="K86" s="6"/>
      <c r="L86" s="163"/>
    </row>
    <row r="87" spans="2:12" ht="12.75">
      <c r="B87" s="9"/>
      <c r="C87" s="6"/>
      <c r="D87" s="6"/>
      <c r="E87" s="132"/>
      <c r="F87" s="182" t="s">
        <v>352</v>
      </c>
      <c r="H87" s="235"/>
      <c r="I87" s="146"/>
      <c r="K87" s="6"/>
      <c r="L87" s="163"/>
    </row>
    <row r="88" spans="2:12" ht="13.5" thickBot="1">
      <c r="B88" s="133"/>
      <c r="C88" s="134"/>
      <c r="D88" s="134"/>
      <c r="E88" s="135"/>
      <c r="F88" s="254" t="s">
        <v>353</v>
      </c>
      <c r="G88" s="135"/>
      <c r="H88" s="236"/>
      <c r="I88" s="239"/>
      <c r="J88" s="133"/>
      <c r="K88" s="134"/>
      <c r="L88" s="231"/>
    </row>
    <row r="89" spans="2:12" ht="13.5" thickBot="1">
      <c r="B89" s="76"/>
      <c r="C89" s="76"/>
      <c r="D89" s="76"/>
      <c r="E89" s="76"/>
      <c r="F89" s="136"/>
      <c r="G89" s="137"/>
      <c r="H89" s="137"/>
      <c r="I89" s="138"/>
      <c r="J89" s="136"/>
      <c r="K89" s="137"/>
      <c r="L89" s="138"/>
    </row>
    <row r="90" spans="2:12" ht="18.75" thickBot="1">
      <c r="B90" s="185" t="s">
        <v>278</v>
      </c>
      <c r="C90" s="186"/>
      <c r="D90" s="186"/>
      <c r="E90" s="186"/>
      <c r="F90" s="799" t="s">
        <v>195</v>
      </c>
      <c r="G90" s="800"/>
      <c r="H90" s="188" t="s">
        <v>256</v>
      </c>
      <c r="I90" s="801" t="s">
        <v>197</v>
      </c>
      <c r="J90" s="802"/>
      <c r="K90" s="808" t="s">
        <v>256</v>
      </c>
      <c r="L90" s="809"/>
    </row>
    <row r="91" spans="2:12" ht="16.5" thickBot="1">
      <c r="B91" s="169" t="s">
        <v>279</v>
      </c>
      <c r="C91" s="4"/>
      <c r="D91" s="4"/>
      <c r="E91" s="20"/>
      <c r="F91" s="11"/>
      <c r="G91" s="4"/>
      <c r="H91" s="224"/>
      <c r="I91" s="4"/>
      <c r="J91" s="20"/>
      <c r="K91" s="309" t="s">
        <v>218</v>
      </c>
      <c r="L91" s="311" t="s">
        <v>219</v>
      </c>
    </row>
    <row r="92" spans="2:12" ht="13.5" thickBot="1">
      <c r="B92" s="9"/>
      <c r="C92" s="6"/>
      <c r="D92" s="6"/>
      <c r="E92" s="132"/>
      <c r="F92" s="9" t="s">
        <v>258</v>
      </c>
      <c r="G92" s="6"/>
      <c r="H92" s="286">
        <f>(E97*5)-(SUM(H93:H105))</f>
        <v>0</v>
      </c>
      <c r="I92" s="319" t="s">
        <v>518</v>
      </c>
      <c r="J92" s="319"/>
      <c r="K92" s="353"/>
      <c r="L92" s="354"/>
    </row>
    <row r="93" spans="2:12" ht="12.75">
      <c r="B93" s="312" t="s">
        <v>530</v>
      </c>
      <c r="C93" s="6"/>
      <c r="D93" s="6"/>
      <c r="E93" s="132"/>
      <c r="F93" s="9" t="s">
        <v>263</v>
      </c>
      <c r="H93" s="246"/>
      <c r="I93" s="335" t="s">
        <v>519</v>
      </c>
      <c r="J93" s="319"/>
      <c r="K93" s="355"/>
      <c r="L93" s="356"/>
    </row>
    <row r="94" spans="2:12" ht="12.75">
      <c r="B94" s="5"/>
      <c r="C94" s="6"/>
      <c r="D94" s="6"/>
      <c r="E94" s="132"/>
      <c r="F94" s="9" t="s">
        <v>274</v>
      </c>
      <c r="H94" s="285"/>
      <c r="I94" s="319" t="s">
        <v>521</v>
      </c>
      <c r="J94" s="319"/>
      <c r="K94" s="355"/>
      <c r="L94" s="356"/>
    </row>
    <row r="95" spans="2:12" ht="13.5" thickBot="1">
      <c r="B95" s="313" t="s">
        <v>531</v>
      </c>
      <c r="C95" s="6"/>
      <c r="D95" s="6"/>
      <c r="E95" s="132"/>
      <c r="F95" s="9" t="s">
        <v>355</v>
      </c>
      <c r="H95" s="285"/>
      <c r="I95" s="336" t="s">
        <v>520</v>
      </c>
      <c r="J95" s="319"/>
      <c r="K95" s="355"/>
      <c r="L95" s="356"/>
    </row>
    <row r="96" spans="2:12" ht="13.5" thickBot="1">
      <c r="B96" s="9"/>
      <c r="C96" s="6"/>
      <c r="D96" s="6"/>
      <c r="E96" s="181" t="s">
        <v>256</v>
      </c>
      <c r="F96" s="9" t="s">
        <v>356</v>
      </c>
      <c r="H96" s="285"/>
      <c r="I96" s="315" t="s">
        <v>266</v>
      </c>
      <c r="J96" s="314"/>
      <c r="K96" s="355"/>
      <c r="L96" s="356"/>
    </row>
    <row r="97" spans="2:12" ht="13.5" thickBot="1">
      <c r="B97" s="9"/>
      <c r="C97" s="275" t="s">
        <v>463</v>
      </c>
      <c r="D97" s="6"/>
      <c r="E97" s="337"/>
      <c r="F97" s="9" t="s">
        <v>357</v>
      </c>
      <c r="H97" s="285"/>
      <c r="I97" s="335" t="s">
        <v>522</v>
      </c>
      <c r="J97" s="319"/>
      <c r="K97" s="355"/>
      <c r="L97" s="356"/>
    </row>
    <row r="98" spans="2:12" ht="12.75">
      <c r="B98" s="9"/>
      <c r="C98" s="333"/>
      <c r="D98" s="16"/>
      <c r="E98" s="334"/>
      <c r="F98" s="9" t="s">
        <v>358</v>
      </c>
      <c r="H98" s="285"/>
      <c r="I98" s="319" t="s">
        <v>345</v>
      </c>
      <c r="J98" s="314"/>
      <c r="K98" s="355"/>
      <c r="L98" s="356"/>
    </row>
    <row r="99" spans="2:12" ht="12.75">
      <c r="B99" s="9"/>
      <c r="C99" s="6"/>
      <c r="D99" s="6"/>
      <c r="E99" s="132"/>
      <c r="F99" s="9" t="s">
        <v>359</v>
      </c>
      <c r="H99" s="324"/>
      <c r="I99" s="319" t="s">
        <v>523</v>
      </c>
      <c r="J99" s="319"/>
      <c r="K99" s="355"/>
      <c r="L99" s="356"/>
    </row>
    <row r="100" spans="2:12" ht="13.5" thickBot="1">
      <c r="B100" s="9"/>
      <c r="C100" s="6"/>
      <c r="D100" s="6"/>
      <c r="E100" s="132"/>
      <c r="F100" s="9" t="s">
        <v>360</v>
      </c>
      <c r="H100" s="324"/>
      <c r="I100" s="335" t="s">
        <v>267</v>
      </c>
      <c r="J100" s="319"/>
      <c r="K100" s="355"/>
      <c r="L100" s="356"/>
    </row>
    <row r="101" spans="2:12" ht="13.5" thickBot="1">
      <c r="B101" s="9"/>
      <c r="C101" s="293" t="s">
        <v>488</v>
      </c>
      <c r="D101" s="6"/>
      <c r="E101" s="281"/>
      <c r="F101" s="9" t="s">
        <v>361</v>
      </c>
      <c r="H101" s="324"/>
      <c r="I101" s="335" t="s">
        <v>346</v>
      </c>
      <c r="J101" s="319"/>
      <c r="K101" s="355"/>
      <c r="L101" s="356"/>
    </row>
    <row r="102" spans="2:12" ht="12.75">
      <c r="B102" s="9"/>
      <c r="C102" s="6"/>
      <c r="D102" s="6"/>
      <c r="E102" s="132"/>
      <c r="F102" s="9" t="s">
        <v>362</v>
      </c>
      <c r="H102" s="324"/>
      <c r="I102" s="335" t="s">
        <v>466</v>
      </c>
      <c r="J102" s="319"/>
      <c r="K102" s="355"/>
      <c r="L102" s="356"/>
    </row>
    <row r="103" spans="2:12" ht="12.75">
      <c r="B103" s="9"/>
      <c r="C103" s="6"/>
      <c r="D103" s="6"/>
      <c r="E103" s="132"/>
      <c r="F103" s="9" t="s">
        <v>363</v>
      </c>
      <c r="H103" s="324"/>
      <c r="I103" s="6"/>
      <c r="J103" s="6"/>
      <c r="K103" s="16"/>
      <c r="L103" s="163"/>
    </row>
    <row r="104" spans="2:12" ht="12.75">
      <c r="B104" s="9"/>
      <c r="C104" s="6"/>
      <c r="D104" s="6"/>
      <c r="E104" s="132"/>
      <c r="F104" s="9" t="s">
        <v>364</v>
      </c>
      <c r="H104" s="324"/>
      <c r="I104" s="6"/>
      <c r="J104" s="6"/>
      <c r="K104" s="16"/>
      <c r="L104" s="163"/>
    </row>
    <row r="105" spans="2:12" ht="13.5" thickBot="1">
      <c r="B105" s="133"/>
      <c r="C105" s="134"/>
      <c r="D105" s="134"/>
      <c r="E105" s="135"/>
      <c r="F105" s="133" t="s">
        <v>365</v>
      </c>
      <c r="G105" s="135"/>
      <c r="H105" s="323"/>
      <c r="I105" s="134"/>
      <c r="J105" s="134"/>
      <c r="K105" s="234"/>
      <c r="L105" s="231"/>
    </row>
    <row r="106" spans="2:12" ht="13.5" thickBot="1">
      <c r="B106" s="76"/>
      <c r="C106" s="76"/>
      <c r="D106" s="76"/>
      <c r="E106" s="76"/>
      <c r="F106" s="136"/>
      <c r="G106" s="137"/>
      <c r="H106" s="137"/>
      <c r="I106" s="145"/>
      <c r="J106" s="136"/>
      <c r="K106" s="137"/>
      <c r="L106" s="145"/>
    </row>
    <row r="107" spans="2:12" ht="12.75">
      <c r="B107" s="76"/>
      <c r="C107" s="76"/>
      <c r="D107" s="76"/>
      <c r="E107" s="76"/>
      <c r="F107" s="136"/>
      <c r="G107" s="137" t="s">
        <v>166</v>
      </c>
      <c r="H107" s="378">
        <f>E5+E6+(SUM(E10:E12))+SUM(E17:E18)+E22+SUM(K27:K38)+SUM(K40:K43)+SUM(K57:K60)+SUM(K73:K75)+SUM(H92:H105)+E23+SUM(L27:L38)+SUM(L40:L43)+SUM(L57:L60)+SUM(L73:L75)</f>
        <v>0</v>
      </c>
      <c r="I107" s="274" t="s">
        <v>468</v>
      </c>
      <c r="J107" s="136"/>
      <c r="K107" s="137"/>
      <c r="L107" s="138"/>
    </row>
    <row r="108" spans="2:12" ht="12.75">
      <c r="B108" s="76"/>
      <c r="C108" s="76"/>
      <c r="D108" s="76"/>
      <c r="E108" s="76"/>
      <c r="F108" s="136"/>
      <c r="G108" s="137" t="s">
        <v>469</v>
      </c>
      <c r="H108" s="378">
        <f>E5+E6+(SUM(E10:E12))+SUM(E17:E18)+E22+E23+SUM(K27:L38)+SUM(K40:L43)+SUM(K57:L60)+SUM(K73:L75)+E97</f>
        <v>0</v>
      </c>
      <c r="I108" s="138"/>
      <c r="J108" s="136"/>
      <c r="K108" s="137"/>
      <c r="L108" s="138"/>
    </row>
    <row r="109" spans="2:12" ht="12.75">
      <c r="B109" s="76"/>
      <c r="C109" s="76"/>
      <c r="D109" s="76"/>
      <c r="E109" s="76"/>
      <c r="F109" s="136"/>
      <c r="G109" s="137" t="s">
        <v>470</v>
      </c>
      <c r="H109" s="378">
        <f>E5+E6+(SUM(E10:E12))+SUM(E17:E18)+E22+E23+SUM(K27:L38)+SUM(K40:L43)+SUM(K57:L60)+SUM(K73:L75)+E97</f>
        <v>0</v>
      </c>
      <c r="I109" s="138"/>
      <c r="J109" s="136"/>
      <c r="K109" s="137"/>
      <c r="L109" s="138"/>
    </row>
    <row r="110" spans="2:12" ht="12.75">
      <c r="B110" s="76"/>
      <c r="C110" s="76"/>
      <c r="D110" s="76"/>
      <c r="E110" s="76"/>
      <c r="F110" s="136"/>
      <c r="G110" s="137" t="s">
        <v>473</v>
      </c>
      <c r="H110" s="299">
        <f>((E5+E6)*2.5)+((E10+E11+E12+E22+E23)*2)+((SUM(K27:K38))*2)+((SUM(K40:K43)-SUM(H51:H55))*2)+((SUM(K57:K60)-SUM(H67:H71))*1.5)+((SUM(K73:K75)-SUM(H84:H88))*1.5)+SUM(H92:H105)+((SUM(L27:L38)+SUM(L40:L43))*2)+(SUM(L57:L60)*1.5)+(SUM(L73:L75)*1.5)</f>
        <v>0</v>
      </c>
      <c r="I110" s="138"/>
      <c r="J110" s="136"/>
      <c r="K110" s="137"/>
      <c r="L110" s="138"/>
    </row>
    <row r="111" spans="2:12" ht="12.75">
      <c r="B111" s="76"/>
      <c r="C111" s="76"/>
      <c r="D111" s="76"/>
      <c r="E111" s="76"/>
      <c r="F111" s="136"/>
      <c r="G111" s="137" t="s">
        <v>474</v>
      </c>
      <c r="H111" s="299">
        <f>(E17*3)+(SUM(H51:H55)*2)+(SUM(H67:H71)*1.5)+(SUM(H84:H88)*1.5)</f>
        <v>0</v>
      </c>
      <c r="I111" s="138"/>
      <c r="J111" s="136"/>
      <c r="K111" s="137"/>
      <c r="L111" s="138"/>
    </row>
    <row r="112" spans="2:12" ht="12.75">
      <c r="B112" s="76"/>
      <c r="C112" s="76"/>
      <c r="D112" s="76"/>
      <c r="E112" s="76"/>
      <c r="F112" s="136"/>
      <c r="G112" s="137" t="s">
        <v>475</v>
      </c>
      <c r="H112" s="299">
        <f>((E5+E6)*2.5)+(E17*3)+(SUM(K27:K38)*2)+(SUM(K40:K43)*2)+(SUM(K57:K60)*1.5)+(SUM(L27:L38)*2)+(SUM(L40:L43)*2)+(SUM(L57:L60)*1.5)</f>
        <v>0</v>
      </c>
      <c r="I112" s="138"/>
      <c r="J112" s="136"/>
      <c r="K112" s="137"/>
      <c r="L112" s="138"/>
    </row>
    <row r="113" spans="2:12" ht="12.75">
      <c r="B113" s="76"/>
      <c r="C113" s="76"/>
      <c r="D113" s="76"/>
      <c r="E113" s="76"/>
      <c r="F113" s="136"/>
      <c r="G113" s="137" t="s">
        <v>476</v>
      </c>
      <c r="H113" s="299">
        <f>((E10+E11+E12)*2)+((K75+L75)*1.5)</f>
        <v>0</v>
      </c>
      <c r="I113" s="138"/>
      <c r="J113" s="136"/>
      <c r="K113" s="137"/>
      <c r="L113" s="138"/>
    </row>
    <row r="114" spans="2:12" ht="12.75">
      <c r="B114" s="76"/>
      <c r="C114" s="76"/>
      <c r="D114" s="76"/>
      <c r="E114" s="76"/>
      <c r="F114" s="136"/>
      <c r="G114" s="137" t="s">
        <v>477</v>
      </c>
      <c r="H114" s="299">
        <f>E10*2</f>
        <v>0</v>
      </c>
      <c r="I114" s="138"/>
      <c r="J114" s="136"/>
      <c r="K114" s="137"/>
      <c r="L114" s="138"/>
    </row>
    <row r="115" spans="2:12" ht="12.75">
      <c r="B115" s="76"/>
      <c r="C115" s="76"/>
      <c r="D115" s="76"/>
      <c r="E115" s="76"/>
      <c r="F115" s="136"/>
      <c r="G115" s="137" t="s">
        <v>478</v>
      </c>
      <c r="H115" s="299">
        <f>K102+L102</f>
        <v>0</v>
      </c>
      <c r="I115" s="138"/>
      <c r="J115" s="136"/>
      <c r="K115" s="137"/>
      <c r="L115" s="138"/>
    </row>
    <row r="116" spans="2:12" ht="12.75">
      <c r="B116" s="76"/>
      <c r="C116" s="76"/>
      <c r="D116" s="76"/>
      <c r="E116" s="76"/>
      <c r="F116" s="136"/>
      <c r="G116" s="137" t="s">
        <v>479</v>
      </c>
      <c r="H116" s="299">
        <f>SUM(H92:H105)+(SUM(K73:K74)*1.5)+((E22+E23)*2)+(SUM(L73:L74)*1.5)</f>
        <v>0</v>
      </c>
      <c r="I116" s="138"/>
      <c r="J116" s="136"/>
      <c r="K116" s="137"/>
      <c r="L116" s="138"/>
    </row>
    <row r="117" spans="2:12" ht="12.75">
      <c r="B117" s="76"/>
      <c r="C117" s="76"/>
      <c r="D117" s="76"/>
      <c r="E117" s="76"/>
      <c r="F117" s="136"/>
      <c r="G117" s="137" t="s">
        <v>482</v>
      </c>
      <c r="H117" s="299">
        <f>SUM(H92:H105)-K102-L102+(SUM(K73:K74)*1.5)+((E22+E23)*2)+(SUM(L73:L74)*1.5)</f>
        <v>0</v>
      </c>
      <c r="I117" s="138"/>
      <c r="J117" s="136"/>
      <c r="K117" s="137"/>
      <c r="L117" s="138"/>
    </row>
    <row r="118" spans="2:12" ht="12.75">
      <c r="B118" s="76"/>
      <c r="C118" s="76"/>
      <c r="D118" s="76"/>
      <c r="E118" s="76"/>
      <c r="F118" s="136"/>
      <c r="G118" s="137" t="s">
        <v>19</v>
      </c>
      <c r="H118" s="299">
        <f>E5+E6+E22+E23+SUM(H27:H36)+SUM(H40:H49)+SUM(H57:H66)+SUM(H73:H82)+E97-K6-K9-E101</f>
        <v>0</v>
      </c>
      <c r="I118" s="138"/>
      <c r="J118" s="136"/>
      <c r="K118" s="137"/>
      <c r="L118" s="138"/>
    </row>
    <row r="119" spans="2:12" ht="12.75">
      <c r="B119" s="76"/>
      <c r="C119" s="76"/>
      <c r="D119" s="76"/>
      <c r="E119" s="76"/>
      <c r="F119" s="136"/>
      <c r="G119" s="137" t="s">
        <v>483</v>
      </c>
      <c r="H119" s="299">
        <f>SUM(I27:I36)+SUM(I40:I49)+SUM(I57:I66)+SUM(I73:I82)</f>
        <v>0</v>
      </c>
      <c r="I119" s="138"/>
      <c r="J119" s="136"/>
      <c r="K119" s="137"/>
      <c r="L119" s="138"/>
    </row>
    <row r="120" spans="2:12" ht="12.75">
      <c r="B120" s="76"/>
      <c r="C120" s="76"/>
      <c r="D120" s="76"/>
      <c r="E120" s="76"/>
      <c r="F120" s="136"/>
      <c r="G120" s="137" t="s">
        <v>484</v>
      </c>
      <c r="H120" s="299">
        <f>SUM(H84:H88)+SUM(H67:H71)+SUM(H51:H55)</f>
        <v>0</v>
      </c>
      <c r="I120" s="138"/>
      <c r="J120" s="136"/>
      <c r="K120" s="137"/>
      <c r="L120" s="138"/>
    </row>
    <row r="121" spans="2:12" ht="12.75">
      <c r="B121" s="76"/>
      <c r="C121" s="76"/>
      <c r="D121" s="76"/>
      <c r="E121" s="76"/>
      <c r="F121" s="136"/>
      <c r="G121" s="137" t="s">
        <v>486</v>
      </c>
      <c r="H121" s="299">
        <f>E10+E11+E12+H50+K75-K11+K9+L75</f>
        <v>0</v>
      </c>
      <c r="I121" s="138"/>
      <c r="J121" s="136"/>
      <c r="K121" s="137"/>
      <c r="L121" s="138"/>
    </row>
    <row r="122" spans="2:12" ht="13.5" thickBot="1">
      <c r="B122" s="76"/>
      <c r="C122" s="76"/>
      <c r="D122" s="76"/>
      <c r="E122" s="76"/>
      <c r="F122" s="136"/>
      <c r="G122" s="137" t="s">
        <v>485</v>
      </c>
      <c r="H122" s="299">
        <f>K6+K11+E101</f>
        <v>0</v>
      </c>
      <c r="I122" s="138"/>
      <c r="J122" s="136"/>
      <c r="K122" s="137"/>
      <c r="L122" s="138"/>
    </row>
    <row r="123" spans="2:12" ht="12.75">
      <c r="B123" s="76"/>
      <c r="C123" s="76"/>
      <c r="D123" s="76"/>
      <c r="E123" s="76"/>
      <c r="F123" s="136"/>
      <c r="G123" s="137" t="s">
        <v>588</v>
      </c>
      <c r="H123" s="143">
        <f>E5+E6+SUM(E10:E12)+SUM(E17:E18)+SUM(H27:H36)+SUM(I27:I36)</f>
        <v>0</v>
      </c>
      <c r="I123" s="138"/>
      <c r="J123" s="136"/>
      <c r="K123" s="137"/>
      <c r="L123" s="138"/>
    </row>
    <row r="124" spans="2:12" ht="12.75">
      <c r="B124" s="76"/>
      <c r="C124" s="76"/>
      <c r="D124" s="76"/>
      <c r="E124" s="76"/>
      <c r="F124" s="136"/>
      <c r="G124" s="137" t="s">
        <v>589</v>
      </c>
      <c r="H124" s="138">
        <f>SUM(K40:K43)+SUM(L40:L43)+SUM(K57:K60)+SUM(L57:L60)</f>
        <v>0</v>
      </c>
      <c r="I124" s="138"/>
      <c r="J124" s="136"/>
      <c r="K124" s="137"/>
      <c r="L124" s="138"/>
    </row>
    <row r="125" spans="2:12" ht="13.5" thickBot="1">
      <c r="B125" s="76"/>
      <c r="C125" s="76"/>
      <c r="D125" s="76"/>
      <c r="E125" s="76"/>
      <c r="F125" s="136"/>
      <c r="G125" s="137" t="s">
        <v>277</v>
      </c>
      <c r="H125" s="145">
        <f>SUM(K73:K75)+SUM(L73:L75)</f>
        <v>0</v>
      </c>
      <c r="I125" s="138"/>
      <c r="J125" s="136"/>
      <c r="K125" s="137"/>
      <c r="L125" s="138"/>
    </row>
    <row r="126" spans="2:12" ht="12.75">
      <c r="B126" s="76"/>
      <c r="C126" s="76"/>
      <c r="D126" s="76"/>
      <c r="E126" s="76"/>
      <c r="F126" s="136"/>
      <c r="G126" s="137"/>
      <c r="H126" s="137"/>
      <c r="I126" s="138"/>
      <c r="J126" s="136"/>
      <c r="K126" s="137"/>
      <c r="L126" s="138"/>
    </row>
    <row r="127" spans="2:12" ht="12.75">
      <c r="B127" s="76"/>
      <c r="C127" s="76"/>
      <c r="D127" s="76"/>
      <c r="E127" s="76"/>
      <c r="F127" s="136"/>
      <c r="G127" s="137"/>
      <c r="H127" s="137"/>
      <c r="I127" s="138"/>
      <c r="J127" s="136"/>
      <c r="K127" s="137"/>
      <c r="L127" s="138"/>
    </row>
    <row r="128" spans="2:12" ht="12.75">
      <c r="B128" s="76"/>
      <c r="C128" s="76"/>
      <c r="D128" s="76"/>
      <c r="E128" s="76"/>
      <c r="F128" s="136"/>
      <c r="G128" s="137"/>
      <c r="H128" s="137"/>
      <c r="I128" s="138"/>
      <c r="J128" s="136"/>
      <c r="K128" s="137"/>
      <c r="L128" s="138"/>
    </row>
    <row r="129" spans="2:12" ht="12.75">
      <c r="B129" s="76"/>
      <c r="C129" s="76"/>
      <c r="D129" s="76"/>
      <c r="E129" s="76"/>
      <c r="F129" s="136"/>
      <c r="G129" s="137"/>
      <c r="H129" s="137"/>
      <c r="I129" s="138"/>
      <c r="J129" s="136"/>
      <c r="K129" s="137"/>
      <c r="L129" s="138"/>
    </row>
    <row r="130" spans="2:12" ht="12.75">
      <c r="B130" s="76"/>
      <c r="C130" s="76"/>
      <c r="D130" s="76"/>
      <c r="E130" s="76"/>
      <c r="F130" s="136"/>
      <c r="G130" s="137"/>
      <c r="H130" s="137"/>
      <c r="I130" s="138"/>
      <c r="J130" s="136"/>
      <c r="K130" s="137"/>
      <c r="L130" s="138"/>
    </row>
    <row r="131" spans="2:12" ht="12.75">
      <c r="B131" s="76"/>
      <c r="C131" s="76"/>
      <c r="D131" s="76"/>
      <c r="E131" s="76"/>
      <c r="F131" s="136"/>
      <c r="G131" s="137"/>
      <c r="H131" s="137"/>
      <c r="I131" s="138"/>
      <c r="J131" s="136"/>
      <c r="K131" s="137"/>
      <c r="L131" s="138"/>
    </row>
    <row r="132" spans="2:12" ht="12.75">
      <c r="B132" s="76"/>
      <c r="C132" s="76"/>
      <c r="D132" s="76"/>
      <c r="E132" s="76"/>
      <c r="F132" s="136"/>
      <c r="G132" s="137"/>
      <c r="H132" s="137"/>
      <c r="I132" s="138"/>
      <c r="J132" s="136"/>
      <c r="K132" s="137"/>
      <c r="L132" s="138"/>
    </row>
    <row r="133" spans="2:12" ht="12.75">
      <c r="B133" s="76"/>
      <c r="C133" s="76"/>
      <c r="D133" s="76"/>
      <c r="E133" s="76"/>
      <c r="F133" s="136"/>
      <c r="G133" s="137"/>
      <c r="H133" s="137"/>
      <c r="I133" s="138"/>
      <c r="J133" s="136"/>
      <c r="K133" s="137"/>
      <c r="L133" s="138"/>
    </row>
    <row r="134" spans="2:12" ht="12.75">
      <c r="B134" s="76"/>
      <c r="C134" s="76"/>
      <c r="D134" s="76"/>
      <c r="E134" s="76"/>
      <c r="F134" s="136"/>
      <c r="G134" s="137"/>
      <c r="H134" s="137"/>
      <c r="I134" s="138"/>
      <c r="J134" s="136"/>
      <c r="K134" s="137"/>
      <c r="L134" s="138"/>
    </row>
    <row r="135" spans="2:12" ht="12.75">
      <c r="B135" s="76"/>
      <c r="C135" s="76"/>
      <c r="D135" s="76"/>
      <c r="E135" s="76"/>
      <c r="F135" s="136"/>
      <c r="G135" s="137"/>
      <c r="H135" s="137"/>
      <c r="I135" s="138"/>
      <c r="J135" s="136"/>
      <c r="K135" s="137"/>
      <c r="L135" s="138"/>
    </row>
    <row r="136" spans="2:12" ht="12.75">
      <c r="B136" s="76"/>
      <c r="C136" s="76"/>
      <c r="D136" s="76"/>
      <c r="E136" s="76"/>
      <c r="F136" s="136"/>
      <c r="G136" s="137"/>
      <c r="H136" s="137"/>
      <c r="I136" s="138"/>
      <c r="J136" s="136"/>
      <c r="K136" s="137"/>
      <c r="L136" s="138"/>
    </row>
    <row r="137" spans="2:12" ht="12.75">
      <c r="B137" s="76"/>
      <c r="C137" s="76"/>
      <c r="D137" s="76"/>
      <c r="E137" s="76"/>
      <c r="F137" s="136"/>
      <c r="G137" s="137"/>
      <c r="H137" s="137"/>
      <c r="I137" s="138"/>
      <c r="J137" s="136"/>
      <c r="K137" s="137"/>
      <c r="L137" s="138"/>
    </row>
    <row r="138" spans="2:12" ht="12.75">
      <c r="B138" s="76"/>
      <c r="C138" s="76"/>
      <c r="D138" s="76"/>
      <c r="E138" s="76"/>
      <c r="F138" s="136"/>
      <c r="G138" s="137"/>
      <c r="H138" s="137"/>
      <c r="I138" s="138"/>
      <c r="J138" s="136"/>
      <c r="K138" s="137"/>
      <c r="L138" s="138"/>
    </row>
    <row r="139" spans="2:12" ht="12.75">
      <c r="B139" s="76"/>
      <c r="C139" s="76"/>
      <c r="D139" s="76"/>
      <c r="E139" s="76"/>
      <c r="F139" s="136"/>
      <c r="G139" s="137"/>
      <c r="H139" s="137"/>
      <c r="I139" s="138"/>
      <c r="J139" s="136"/>
      <c r="K139" s="137"/>
      <c r="L139" s="138"/>
    </row>
    <row r="140" spans="2:12" ht="12.75">
      <c r="B140" s="76"/>
      <c r="C140" s="76"/>
      <c r="D140" s="76"/>
      <c r="E140" s="76"/>
      <c r="F140" s="136"/>
      <c r="G140" s="137"/>
      <c r="H140" s="137"/>
      <c r="I140" s="138"/>
      <c r="J140" s="136"/>
      <c r="K140" s="137"/>
      <c r="L140" s="138"/>
    </row>
    <row r="141" spans="2:12" ht="12.75">
      <c r="B141" s="76"/>
      <c r="C141" s="76"/>
      <c r="D141" s="76"/>
      <c r="E141" s="76"/>
      <c r="F141" s="136"/>
      <c r="G141" s="137"/>
      <c r="H141" s="137"/>
      <c r="I141" s="138"/>
      <c r="J141" s="136"/>
      <c r="K141" s="137"/>
      <c r="L141" s="138"/>
    </row>
    <row r="142" spans="2:12" ht="12.75">
      <c r="B142" s="76"/>
      <c r="C142" s="76"/>
      <c r="D142" s="76"/>
      <c r="E142" s="76"/>
      <c r="F142" s="136"/>
      <c r="G142" s="137"/>
      <c r="H142" s="137"/>
      <c r="I142" s="138"/>
      <c r="J142" s="136"/>
      <c r="K142" s="137"/>
      <c r="L142" s="138"/>
    </row>
    <row r="143" spans="2:12" ht="12.75">
      <c r="B143" s="76"/>
      <c r="C143" s="76"/>
      <c r="D143" s="76"/>
      <c r="E143" s="76"/>
      <c r="F143" s="136"/>
      <c r="G143" s="137"/>
      <c r="H143" s="137"/>
      <c r="I143" s="138"/>
      <c r="J143" s="136"/>
      <c r="K143" s="137"/>
      <c r="L143" s="138"/>
    </row>
    <row r="144" spans="2:12" ht="12.75">
      <c r="B144" s="76"/>
      <c r="C144" s="76"/>
      <c r="D144" s="76"/>
      <c r="E144" s="76"/>
      <c r="F144" s="136"/>
      <c r="G144" s="137"/>
      <c r="H144" s="137"/>
      <c r="I144" s="138"/>
      <c r="J144" s="136"/>
      <c r="K144" s="137"/>
      <c r="L144" s="138"/>
    </row>
    <row r="145" spans="2:12" ht="12.75">
      <c r="B145" s="76"/>
      <c r="C145" s="76"/>
      <c r="D145" s="76"/>
      <c r="E145" s="76"/>
      <c r="F145" s="136"/>
      <c r="G145" s="137"/>
      <c r="H145" s="137"/>
      <c r="I145" s="138"/>
      <c r="J145" s="136"/>
      <c r="K145" s="137"/>
      <c r="L145" s="138"/>
    </row>
    <row r="146" spans="2:12" ht="12.75">
      <c r="B146" s="76"/>
      <c r="C146" s="76"/>
      <c r="D146" s="76"/>
      <c r="E146" s="76"/>
      <c r="F146" s="136"/>
      <c r="G146" s="137"/>
      <c r="H146" s="137"/>
      <c r="I146" s="138"/>
      <c r="J146" s="136"/>
      <c r="K146" s="137"/>
      <c r="L146" s="138"/>
    </row>
    <row r="147" spans="2:12" ht="12.75">
      <c r="B147" s="76"/>
      <c r="C147" s="76"/>
      <c r="D147" s="76"/>
      <c r="E147" s="76"/>
      <c r="F147" s="136"/>
      <c r="G147" s="137"/>
      <c r="H147" s="137"/>
      <c r="I147" s="138"/>
      <c r="J147" s="136"/>
      <c r="K147" s="137"/>
      <c r="L147" s="138"/>
    </row>
    <row r="148" spans="2:12" ht="12.75">
      <c r="B148" s="76"/>
      <c r="C148" s="76"/>
      <c r="D148" s="76"/>
      <c r="E148" s="76"/>
      <c r="F148" s="136"/>
      <c r="G148" s="137"/>
      <c r="H148" s="137"/>
      <c r="I148" s="138"/>
      <c r="J148" s="136"/>
      <c r="K148" s="137"/>
      <c r="L148" s="138"/>
    </row>
    <row r="149" spans="2:12" ht="12.75">
      <c r="B149" s="76"/>
      <c r="C149" s="76"/>
      <c r="D149" s="76"/>
      <c r="E149" s="76"/>
      <c r="F149" s="136"/>
      <c r="G149" s="137"/>
      <c r="H149" s="137"/>
      <c r="I149" s="138"/>
      <c r="J149" s="136"/>
      <c r="K149" s="137"/>
      <c r="L149" s="138"/>
    </row>
  </sheetData>
  <mergeCells count="8">
    <mergeCell ref="F90:G90"/>
    <mergeCell ref="I90:J90"/>
    <mergeCell ref="F1:G2"/>
    <mergeCell ref="J1:K2"/>
    <mergeCell ref="F25:G25"/>
    <mergeCell ref="H25:I25"/>
    <mergeCell ref="K90:L90"/>
    <mergeCell ref="K25:L25"/>
  </mergeCells>
  <printOptions/>
  <pageMargins left="0.75" right="0.75" top="1" bottom="1" header="0" footer="0"/>
  <pageSetup horizontalDpi="200" verticalDpi="200" orientation="portrait" paperSize="9" r:id="rId1"/>
</worksheet>
</file>

<file path=xl/worksheets/sheet26.xml><?xml version="1.0" encoding="utf-8"?>
<worksheet xmlns="http://schemas.openxmlformats.org/spreadsheetml/2006/main" xmlns:r="http://schemas.openxmlformats.org/officeDocument/2006/relationships">
  <dimension ref="A2:L137"/>
  <sheetViews>
    <sheetView tabSelected="1" workbookViewId="0" topLeftCell="A1">
      <selection activeCell="I3" sqref="I3"/>
    </sheetView>
  </sheetViews>
  <sheetFormatPr defaultColWidth="11.421875" defaultRowHeight="12.75"/>
  <cols>
    <col min="1" max="13" width="11.421875" style="76" customWidth="1"/>
  </cols>
  <sheetData>
    <row r="2" spans="1:12" ht="33.75">
      <c r="A2" s="374"/>
      <c r="B2" s="374"/>
      <c r="C2" s="374"/>
      <c r="D2" s="374"/>
      <c r="E2" s="375" t="s">
        <v>654</v>
      </c>
      <c r="F2" s="374"/>
      <c r="G2" s="374"/>
      <c r="H2" s="374"/>
      <c r="I2" s="374"/>
      <c r="J2" s="374"/>
      <c r="K2" s="374"/>
      <c r="L2" s="374"/>
    </row>
    <row r="3" spans="1:12" ht="25.5">
      <c r="A3" s="374"/>
      <c r="B3" s="376"/>
      <c r="C3" s="374"/>
      <c r="D3" s="374"/>
      <c r="E3" s="374"/>
      <c r="F3" s="374"/>
      <c r="G3" s="374"/>
      <c r="H3" s="374"/>
      <c r="I3" s="374"/>
      <c r="J3" s="374"/>
      <c r="K3" s="374"/>
      <c r="L3" s="374"/>
    </row>
    <row r="4" spans="1:12" ht="23.25">
      <c r="A4" s="374"/>
      <c r="B4" s="377" t="s">
        <v>618</v>
      </c>
      <c r="C4" s="374"/>
      <c r="D4" s="374"/>
      <c r="E4" s="374"/>
      <c r="F4" s="374"/>
      <c r="G4" s="374"/>
      <c r="H4" s="374"/>
      <c r="I4" s="374"/>
      <c r="J4" s="374"/>
      <c r="K4" s="374"/>
      <c r="L4" s="374"/>
    </row>
    <row r="7" ht="20.25">
      <c r="B7" s="364" t="s">
        <v>645</v>
      </c>
    </row>
    <row r="10" ht="18">
      <c r="B10" s="365" t="s">
        <v>619</v>
      </c>
    </row>
    <row r="12" spans="2:12" ht="12.75">
      <c r="B12" s="811" t="s">
        <v>620</v>
      </c>
      <c r="C12" s="812"/>
      <c r="D12" s="812"/>
      <c r="E12" s="812"/>
      <c r="F12" s="812"/>
      <c r="G12" s="812"/>
      <c r="H12" s="812"/>
      <c r="I12" s="812"/>
      <c r="J12" s="812"/>
      <c r="K12" s="812"/>
      <c r="L12" s="812"/>
    </row>
    <row r="13" spans="2:12" ht="12.75">
      <c r="B13" s="812"/>
      <c r="C13" s="812"/>
      <c r="D13" s="812"/>
      <c r="E13" s="812"/>
      <c r="F13" s="812"/>
      <c r="G13" s="812"/>
      <c r="H13" s="812"/>
      <c r="I13" s="812"/>
      <c r="J13" s="812"/>
      <c r="K13" s="812"/>
      <c r="L13" s="812"/>
    </row>
    <row r="14" spans="2:12" ht="12.75">
      <c r="B14" s="812"/>
      <c r="C14" s="812"/>
      <c r="D14" s="812"/>
      <c r="E14" s="812"/>
      <c r="F14" s="812"/>
      <c r="G14" s="812"/>
      <c r="H14" s="812"/>
      <c r="I14" s="812"/>
      <c r="J14" s="812"/>
      <c r="K14" s="812"/>
      <c r="L14" s="812"/>
    </row>
    <row r="15" spans="2:12" ht="12.75">
      <c r="B15" s="367"/>
      <c r="C15" s="367"/>
      <c r="D15" s="367"/>
      <c r="E15" s="367"/>
      <c r="F15" s="367"/>
      <c r="G15" s="367"/>
      <c r="H15" s="367"/>
      <c r="I15" s="367"/>
      <c r="J15" s="367"/>
      <c r="K15" s="367"/>
      <c r="L15" s="367"/>
    </row>
    <row r="16" spans="2:12" ht="12.75">
      <c r="B16" s="811" t="s">
        <v>621</v>
      </c>
      <c r="C16" s="812"/>
      <c r="D16" s="812"/>
      <c r="E16" s="812"/>
      <c r="F16" s="812"/>
      <c r="G16" s="812"/>
      <c r="H16" s="812"/>
      <c r="I16" s="812"/>
      <c r="J16" s="812"/>
      <c r="K16" s="812"/>
      <c r="L16" s="812"/>
    </row>
    <row r="17" spans="2:12" ht="12.75">
      <c r="B17" s="812"/>
      <c r="C17" s="812"/>
      <c r="D17" s="812"/>
      <c r="E17" s="812"/>
      <c r="F17" s="812"/>
      <c r="G17" s="812"/>
      <c r="H17" s="812"/>
      <c r="I17" s="812"/>
      <c r="J17" s="812"/>
      <c r="K17" s="812"/>
      <c r="L17" s="812"/>
    </row>
    <row r="18" spans="2:12" ht="12.75">
      <c r="B18" s="812"/>
      <c r="C18" s="812"/>
      <c r="D18" s="812"/>
      <c r="E18" s="812"/>
      <c r="F18" s="812"/>
      <c r="G18" s="812"/>
      <c r="H18" s="812"/>
      <c r="I18" s="812"/>
      <c r="J18" s="812"/>
      <c r="K18" s="812"/>
      <c r="L18" s="812"/>
    </row>
    <row r="19" spans="2:12" ht="12.75">
      <c r="B19" s="814" t="s">
        <v>624</v>
      </c>
      <c r="C19" s="817"/>
      <c r="D19" s="817"/>
      <c r="E19" s="817"/>
      <c r="F19" s="817"/>
      <c r="G19" s="817"/>
      <c r="H19" s="817"/>
      <c r="I19" s="817"/>
      <c r="J19" s="817"/>
      <c r="K19" s="817"/>
      <c r="L19" s="817"/>
    </row>
    <row r="20" spans="2:12" ht="12.75">
      <c r="B20" s="817"/>
      <c r="C20" s="817"/>
      <c r="D20" s="817"/>
      <c r="E20" s="817"/>
      <c r="F20" s="817"/>
      <c r="G20" s="817"/>
      <c r="H20" s="817"/>
      <c r="I20" s="817"/>
      <c r="J20" s="817"/>
      <c r="K20" s="817"/>
      <c r="L20" s="817"/>
    </row>
    <row r="21" spans="2:12" ht="12.75" customHeight="1">
      <c r="B21" s="811" t="s">
        <v>647</v>
      </c>
      <c r="C21" s="812"/>
      <c r="D21" s="812"/>
      <c r="E21" s="812"/>
      <c r="F21" s="812"/>
      <c r="G21" s="812"/>
      <c r="H21" s="812"/>
      <c r="I21" s="812"/>
      <c r="J21" s="812"/>
      <c r="K21" s="812"/>
      <c r="L21" s="812"/>
    </row>
    <row r="22" spans="2:12" ht="12.75">
      <c r="B22" s="812"/>
      <c r="C22" s="812"/>
      <c r="D22" s="812"/>
      <c r="E22" s="812"/>
      <c r="F22" s="812"/>
      <c r="G22" s="812"/>
      <c r="H22" s="812"/>
      <c r="I22" s="812"/>
      <c r="J22" s="812"/>
      <c r="K22" s="812"/>
      <c r="L22" s="812"/>
    </row>
    <row r="23" spans="2:12" ht="12.75">
      <c r="B23" s="812"/>
      <c r="C23" s="812"/>
      <c r="D23" s="812"/>
      <c r="E23" s="812"/>
      <c r="F23" s="812"/>
      <c r="G23" s="812"/>
      <c r="H23" s="812"/>
      <c r="I23" s="812"/>
      <c r="J23" s="812"/>
      <c r="K23" s="812"/>
      <c r="L23" s="812"/>
    </row>
    <row r="24" spans="2:12" ht="13.5" thickBot="1">
      <c r="B24" s="367"/>
      <c r="C24" s="367"/>
      <c r="D24" s="367"/>
      <c r="E24" s="367"/>
      <c r="F24" s="367"/>
      <c r="G24" s="367"/>
      <c r="H24" s="367"/>
      <c r="I24" s="367"/>
      <c r="J24" s="367"/>
      <c r="K24" s="367"/>
      <c r="L24" s="367"/>
    </row>
    <row r="25" spans="2:12" ht="12.75">
      <c r="B25" s="818" t="s">
        <v>626</v>
      </c>
      <c r="C25" s="819"/>
      <c r="D25" s="819"/>
      <c r="E25" s="819"/>
      <c r="F25" s="819"/>
      <c r="G25" s="819"/>
      <c r="H25" s="819"/>
      <c r="I25" s="819"/>
      <c r="J25" s="819"/>
      <c r="K25" s="819"/>
      <c r="L25" s="820"/>
    </row>
    <row r="26" spans="2:12" ht="12.75">
      <c r="B26" s="821"/>
      <c r="C26" s="822"/>
      <c r="D26" s="822"/>
      <c r="E26" s="822"/>
      <c r="F26" s="822"/>
      <c r="G26" s="822"/>
      <c r="H26" s="822"/>
      <c r="I26" s="822"/>
      <c r="J26" s="822"/>
      <c r="K26" s="822"/>
      <c r="L26" s="823"/>
    </row>
    <row r="27" spans="2:12" ht="13.5" thickBot="1">
      <c r="B27" s="824"/>
      <c r="C27" s="825"/>
      <c r="D27" s="825"/>
      <c r="E27" s="825"/>
      <c r="F27" s="825"/>
      <c r="G27" s="825"/>
      <c r="H27" s="825"/>
      <c r="I27" s="825"/>
      <c r="J27" s="825"/>
      <c r="K27" s="825"/>
      <c r="L27" s="826"/>
    </row>
    <row r="28" spans="2:12" ht="12.75">
      <c r="B28" s="367"/>
      <c r="C28" s="367"/>
      <c r="D28" s="367"/>
      <c r="E28" s="367"/>
      <c r="F28" s="367"/>
      <c r="G28" s="367"/>
      <c r="H28" s="367"/>
      <c r="I28" s="367"/>
      <c r="J28" s="367"/>
      <c r="K28" s="367"/>
      <c r="L28" s="367"/>
    </row>
    <row r="29" spans="2:12" ht="12.75">
      <c r="B29" s="814" t="s">
        <v>625</v>
      </c>
      <c r="C29" s="817"/>
      <c r="D29" s="817"/>
      <c r="E29" s="817"/>
      <c r="F29" s="817"/>
      <c r="G29" s="817"/>
      <c r="H29" s="817"/>
      <c r="I29" s="817"/>
      <c r="J29" s="817"/>
      <c r="K29" s="817"/>
      <c r="L29" s="817"/>
    </row>
    <row r="30" spans="2:12" ht="12.75">
      <c r="B30" s="817"/>
      <c r="C30" s="817"/>
      <c r="D30" s="817"/>
      <c r="E30" s="817"/>
      <c r="F30" s="817"/>
      <c r="G30" s="817"/>
      <c r="H30" s="817"/>
      <c r="I30" s="817"/>
      <c r="J30" s="817"/>
      <c r="K30" s="817"/>
      <c r="L30" s="817"/>
    </row>
    <row r="31" spans="2:12" ht="12.75">
      <c r="B31" s="811" t="s">
        <v>622</v>
      </c>
      <c r="C31" s="812"/>
      <c r="D31" s="812"/>
      <c r="E31" s="812"/>
      <c r="F31" s="812"/>
      <c r="G31" s="812"/>
      <c r="H31" s="812"/>
      <c r="I31" s="812"/>
      <c r="J31" s="812"/>
      <c r="K31" s="812"/>
      <c r="L31" s="812"/>
    </row>
    <row r="32" spans="2:12" ht="12.75">
      <c r="B32" s="812"/>
      <c r="C32" s="812"/>
      <c r="D32" s="812"/>
      <c r="E32" s="812"/>
      <c r="F32" s="812"/>
      <c r="G32" s="812"/>
      <c r="H32" s="812"/>
      <c r="I32" s="812"/>
      <c r="J32" s="812"/>
      <c r="K32" s="812"/>
      <c r="L32" s="812"/>
    </row>
    <row r="33" spans="2:12" ht="12.75">
      <c r="B33" s="812"/>
      <c r="C33" s="812"/>
      <c r="D33" s="812"/>
      <c r="E33" s="812"/>
      <c r="F33" s="812"/>
      <c r="G33" s="812"/>
      <c r="H33" s="812"/>
      <c r="I33" s="812"/>
      <c r="J33" s="812"/>
      <c r="K33" s="812"/>
      <c r="L33" s="812"/>
    </row>
    <row r="34" spans="2:12" ht="12.75">
      <c r="B34" s="367"/>
      <c r="C34" s="367"/>
      <c r="D34" s="367"/>
      <c r="E34" s="367"/>
      <c r="F34" s="367"/>
      <c r="G34" s="367"/>
      <c r="H34" s="367"/>
      <c r="I34" s="367"/>
      <c r="J34" s="367"/>
      <c r="K34" s="367"/>
      <c r="L34" s="367"/>
    </row>
    <row r="35" spans="2:12" ht="12.75">
      <c r="B35" s="811" t="s">
        <v>623</v>
      </c>
      <c r="C35" s="812"/>
      <c r="D35" s="812"/>
      <c r="E35" s="812"/>
      <c r="F35" s="812"/>
      <c r="G35" s="812"/>
      <c r="H35" s="812"/>
      <c r="I35" s="812"/>
      <c r="J35" s="812"/>
      <c r="K35" s="812"/>
      <c r="L35" s="812"/>
    </row>
    <row r="36" spans="2:12" ht="12.75">
      <c r="B36" s="812"/>
      <c r="C36" s="812"/>
      <c r="D36" s="812"/>
      <c r="E36" s="812"/>
      <c r="F36" s="812"/>
      <c r="G36" s="812"/>
      <c r="H36" s="812"/>
      <c r="I36" s="812"/>
      <c r="J36" s="812"/>
      <c r="K36" s="812"/>
      <c r="L36" s="812"/>
    </row>
    <row r="37" spans="2:12" ht="12.75">
      <c r="B37" s="812"/>
      <c r="C37" s="812"/>
      <c r="D37" s="812"/>
      <c r="E37" s="812"/>
      <c r="F37" s="812"/>
      <c r="G37" s="812"/>
      <c r="H37" s="812"/>
      <c r="I37" s="812"/>
      <c r="J37" s="812"/>
      <c r="K37" s="812"/>
      <c r="L37" s="812"/>
    </row>
    <row r="38" spans="2:12" ht="12.75">
      <c r="B38" s="812"/>
      <c r="C38" s="812"/>
      <c r="D38" s="812"/>
      <c r="E38" s="812"/>
      <c r="F38" s="812"/>
      <c r="G38" s="812"/>
      <c r="H38" s="812"/>
      <c r="I38" s="812"/>
      <c r="J38" s="812"/>
      <c r="K38" s="812"/>
      <c r="L38" s="812"/>
    </row>
    <row r="39" spans="2:12" ht="12.75">
      <c r="B39" s="812"/>
      <c r="C39" s="812"/>
      <c r="D39" s="812"/>
      <c r="E39" s="812"/>
      <c r="F39" s="812"/>
      <c r="G39" s="812"/>
      <c r="H39" s="812"/>
      <c r="I39" s="812"/>
      <c r="J39" s="812"/>
      <c r="K39" s="812"/>
      <c r="L39" s="812"/>
    </row>
    <row r="40" spans="2:12" ht="12.75">
      <c r="B40" s="814" t="s">
        <v>627</v>
      </c>
      <c r="C40" s="817"/>
      <c r="D40" s="817"/>
      <c r="E40" s="817"/>
      <c r="F40" s="817"/>
      <c r="G40" s="817"/>
      <c r="H40" s="817"/>
      <c r="I40" s="817"/>
      <c r="J40" s="817"/>
      <c r="K40" s="817"/>
      <c r="L40" s="817"/>
    </row>
    <row r="41" spans="2:12" ht="12.75">
      <c r="B41" s="817"/>
      <c r="C41" s="817"/>
      <c r="D41" s="817"/>
      <c r="E41" s="817"/>
      <c r="F41" s="817"/>
      <c r="G41" s="817"/>
      <c r="H41" s="817"/>
      <c r="I41" s="817"/>
      <c r="J41" s="817"/>
      <c r="K41" s="817"/>
      <c r="L41" s="817"/>
    </row>
    <row r="42" spans="2:12" ht="12.75">
      <c r="B42" s="811" t="s">
        <v>628</v>
      </c>
      <c r="C42" s="812"/>
      <c r="D42" s="812"/>
      <c r="E42" s="812"/>
      <c r="F42" s="812"/>
      <c r="G42" s="812"/>
      <c r="H42" s="812"/>
      <c r="I42" s="812"/>
      <c r="J42" s="812"/>
      <c r="K42" s="812"/>
      <c r="L42" s="812"/>
    </row>
    <row r="43" spans="2:12" ht="12.75">
      <c r="B43" s="812"/>
      <c r="C43" s="812"/>
      <c r="D43" s="812"/>
      <c r="E43" s="812"/>
      <c r="F43" s="812"/>
      <c r="G43" s="812"/>
      <c r="H43" s="812"/>
      <c r="I43" s="812"/>
      <c r="J43" s="812"/>
      <c r="K43" s="812"/>
      <c r="L43" s="812"/>
    </row>
    <row r="44" spans="2:12" ht="12.75">
      <c r="B44" s="812"/>
      <c r="C44" s="812"/>
      <c r="D44" s="812"/>
      <c r="E44" s="812"/>
      <c r="F44" s="812"/>
      <c r="G44" s="812"/>
      <c r="H44" s="812"/>
      <c r="I44" s="812"/>
      <c r="J44" s="812"/>
      <c r="K44" s="812"/>
      <c r="L44" s="812"/>
    </row>
    <row r="45" spans="2:12" ht="12.75">
      <c r="B45" s="812"/>
      <c r="C45" s="812"/>
      <c r="D45" s="812"/>
      <c r="E45" s="812"/>
      <c r="F45" s="812"/>
      <c r="G45" s="812"/>
      <c r="H45" s="812"/>
      <c r="I45" s="812"/>
      <c r="J45" s="812"/>
      <c r="K45" s="812"/>
      <c r="L45" s="812"/>
    </row>
    <row r="46" spans="2:12" ht="12.75">
      <c r="B46" s="812"/>
      <c r="C46" s="812"/>
      <c r="D46" s="812"/>
      <c r="E46" s="812"/>
      <c r="F46" s="812"/>
      <c r="G46" s="812"/>
      <c r="H46" s="812"/>
      <c r="I46" s="812"/>
      <c r="J46" s="812"/>
      <c r="K46" s="812"/>
      <c r="L46" s="812"/>
    </row>
    <row r="47" spans="2:12" ht="12.75">
      <c r="B47" s="811" t="s">
        <v>633</v>
      </c>
      <c r="C47" s="812"/>
      <c r="D47" s="812"/>
      <c r="E47" s="812"/>
      <c r="F47" s="812"/>
      <c r="G47" s="812"/>
      <c r="H47" s="812"/>
      <c r="I47" s="812"/>
      <c r="J47" s="812"/>
      <c r="K47" s="812"/>
      <c r="L47" s="812"/>
    </row>
    <row r="48" spans="2:12" ht="12.75">
      <c r="B48" s="812"/>
      <c r="C48" s="812"/>
      <c r="D48" s="812"/>
      <c r="E48" s="812"/>
      <c r="F48" s="812"/>
      <c r="G48" s="812"/>
      <c r="H48" s="812"/>
      <c r="I48" s="812"/>
      <c r="J48" s="812"/>
      <c r="K48" s="812"/>
      <c r="L48" s="812"/>
    </row>
    <row r="49" spans="2:12" ht="12.75">
      <c r="B49" s="812"/>
      <c r="C49" s="812"/>
      <c r="D49" s="812"/>
      <c r="E49" s="812"/>
      <c r="F49" s="812"/>
      <c r="G49" s="812"/>
      <c r="H49" s="812"/>
      <c r="I49" s="812"/>
      <c r="J49" s="812"/>
      <c r="K49" s="812"/>
      <c r="L49" s="812"/>
    </row>
    <row r="50" spans="2:12" ht="12.75">
      <c r="B50" s="812"/>
      <c r="C50" s="812"/>
      <c r="D50" s="812"/>
      <c r="E50" s="812"/>
      <c r="F50" s="812"/>
      <c r="G50" s="812"/>
      <c r="H50" s="812"/>
      <c r="I50" s="812"/>
      <c r="J50" s="812"/>
      <c r="K50" s="812"/>
      <c r="L50" s="812"/>
    </row>
    <row r="51" spans="2:12" ht="13.5" thickBot="1">
      <c r="B51" s="812"/>
      <c r="C51" s="812"/>
      <c r="D51" s="812"/>
      <c r="E51" s="812"/>
      <c r="F51" s="812"/>
      <c r="G51" s="812"/>
      <c r="H51" s="812"/>
      <c r="I51" s="812"/>
      <c r="J51" s="812"/>
      <c r="K51" s="812"/>
      <c r="L51" s="812"/>
    </row>
    <row r="52" spans="2:12" ht="12.75">
      <c r="B52" s="827" t="s">
        <v>629</v>
      </c>
      <c r="C52" s="819"/>
      <c r="D52" s="819"/>
      <c r="E52" s="819"/>
      <c r="F52" s="819"/>
      <c r="G52" s="819"/>
      <c r="H52" s="819"/>
      <c r="I52" s="819"/>
      <c r="J52" s="819"/>
      <c r="K52" s="819"/>
      <c r="L52" s="819"/>
    </row>
    <row r="53" spans="2:12" ht="12.75">
      <c r="B53" s="822"/>
      <c r="C53" s="822"/>
      <c r="D53" s="822"/>
      <c r="E53" s="822"/>
      <c r="F53" s="822"/>
      <c r="G53" s="822"/>
      <c r="H53" s="822"/>
      <c r="I53" s="822"/>
      <c r="J53" s="822"/>
      <c r="K53" s="822"/>
      <c r="L53" s="822"/>
    </row>
    <row r="54" spans="2:12" ht="12.75">
      <c r="B54" s="822"/>
      <c r="C54" s="822"/>
      <c r="D54" s="822"/>
      <c r="E54" s="822"/>
      <c r="F54" s="822"/>
      <c r="G54" s="822"/>
      <c r="H54" s="822"/>
      <c r="I54" s="822"/>
      <c r="J54" s="822"/>
      <c r="K54" s="822"/>
      <c r="L54" s="822"/>
    </row>
    <row r="55" spans="2:12" ht="12.75">
      <c r="B55" s="815"/>
      <c r="C55" s="815"/>
      <c r="D55" s="815"/>
      <c r="E55" s="815"/>
      <c r="F55" s="815"/>
      <c r="G55" s="815"/>
      <c r="H55" s="815"/>
      <c r="I55" s="815"/>
      <c r="J55" s="815"/>
      <c r="K55" s="815"/>
      <c r="L55" s="815"/>
    </row>
    <row r="56" spans="2:12" ht="12.75">
      <c r="B56" s="828"/>
      <c r="C56" s="828"/>
      <c r="D56" s="828"/>
      <c r="E56" s="828"/>
      <c r="F56" s="828"/>
      <c r="G56" s="828"/>
      <c r="H56" s="828"/>
      <c r="I56" s="828"/>
      <c r="J56" s="828"/>
      <c r="K56" s="828"/>
      <c r="L56" s="828"/>
    </row>
    <row r="57" spans="2:12" ht="12.75">
      <c r="B57" s="828"/>
      <c r="C57" s="828"/>
      <c r="D57" s="828"/>
      <c r="E57" s="828"/>
      <c r="F57" s="828"/>
      <c r="G57" s="828"/>
      <c r="H57" s="828"/>
      <c r="I57" s="828"/>
      <c r="J57" s="828"/>
      <c r="K57" s="828"/>
      <c r="L57" s="828"/>
    </row>
    <row r="59" spans="2:12" ht="12.75">
      <c r="B59" s="814" t="s">
        <v>630</v>
      </c>
      <c r="C59" s="817"/>
      <c r="D59" s="817"/>
      <c r="E59" s="817"/>
      <c r="F59" s="817"/>
      <c r="G59" s="817"/>
      <c r="H59" s="817"/>
      <c r="I59" s="817"/>
      <c r="J59" s="817"/>
      <c r="K59" s="817"/>
      <c r="L59" s="817"/>
    </row>
    <row r="60" spans="2:12" ht="12.75">
      <c r="B60" s="817"/>
      <c r="C60" s="817"/>
      <c r="D60" s="817"/>
      <c r="E60" s="817"/>
      <c r="F60" s="817"/>
      <c r="G60" s="817"/>
      <c r="H60" s="817"/>
      <c r="I60" s="817"/>
      <c r="J60" s="817"/>
      <c r="K60" s="817"/>
      <c r="L60" s="817"/>
    </row>
    <row r="61" spans="2:12" ht="12.75">
      <c r="B61" s="815"/>
      <c r="C61" s="815"/>
      <c r="D61" s="815"/>
      <c r="E61" s="815"/>
      <c r="F61" s="815"/>
      <c r="G61" s="815"/>
      <c r="H61" s="815"/>
      <c r="I61" s="815"/>
      <c r="J61" s="815"/>
      <c r="K61" s="815"/>
      <c r="L61" s="815"/>
    </row>
    <row r="63" spans="2:12" ht="12.75">
      <c r="B63" s="811" t="s">
        <v>632</v>
      </c>
      <c r="C63" s="813"/>
      <c r="D63" s="813"/>
      <c r="E63" s="813"/>
      <c r="F63" s="813"/>
      <c r="G63" s="813"/>
      <c r="H63" s="813"/>
      <c r="I63" s="813"/>
      <c r="J63" s="813"/>
      <c r="K63" s="813"/>
      <c r="L63" s="813"/>
    </row>
    <row r="64" spans="2:12" ht="12.75">
      <c r="B64" s="813"/>
      <c r="C64" s="813"/>
      <c r="D64" s="813"/>
      <c r="E64" s="813"/>
      <c r="F64" s="813"/>
      <c r="G64" s="813"/>
      <c r="H64" s="813"/>
      <c r="I64" s="813"/>
      <c r="J64" s="813"/>
      <c r="K64" s="813"/>
      <c r="L64" s="813"/>
    </row>
    <row r="65" spans="2:12" ht="12.75">
      <c r="B65" s="813"/>
      <c r="C65" s="813"/>
      <c r="D65" s="813"/>
      <c r="E65" s="813"/>
      <c r="F65" s="813"/>
      <c r="G65" s="813"/>
      <c r="H65" s="813"/>
      <c r="I65" s="813"/>
      <c r="J65" s="813"/>
      <c r="K65" s="813"/>
      <c r="L65" s="813"/>
    </row>
    <row r="66" spans="2:12" ht="12.75">
      <c r="B66" s="813"/>
      <c r="C66" s="813"/>
      <c r="D66" s="813"/>
      <c r="E66" s="813"/>
      <c r="F66" s="813"/>
      <c r="G66" s="813"/>
      <c r="H66" s="813"/>
      <c r="I66" s="813"/>
      <c r="J66" s="813"/>
      <c r="K66" s="813"/>
      <c r="L66" s="813"/>
    </row>
    <row r="67" spans="2:12" ht="12.75">
      <c r="B67" s="811" t="s">
        <v>631</v>
      </c>
      <c r="C67" s="812"/>
      <c r="D67" s="812"/>
      <c r="E67" s="812"/>
      <c r="F67" s="812"/>
      <c r="G67" s="812"/>
      <c r="H67" s="812"/>
      <c r="I67" s="812"/>
      <c r="J67" s="812"/>
      <c r="K67" s="812"/>
      <c r="L67" s="812"/>
    </row>
    <row r="68" spans="2:12" ht="12.75">
      <c r="B68" s="812"/>
      <c r="C68" s="812"/>
      <c r="D68" s="812"/>
      <c r="E68" s="812"/>
      <c r="F68" s="812"/>
      <c r="G68" s="812"/>
      <c r="H68" s="812"/>
      <c r="I68" s="812"/>
      <c r="J68" s="812"/>
      <c r="K68" s="812"/>
      <c r="L68" s="812"/>
    </row>
    <row r="69" spans="2:12" ht="12.75">
      <c r="B69" s="812"/>
      <c r="C69" s="812"/>
      <c r="D69" s="812"/>
      <c r="E69" s="812"/>
      <c r="F69" s="812"/>
      <c r="G69" s="812"/>
      <c r="H69" s="812"/>
      <c r="I69" s="812"/>
      <c r="J69" s="812"/>
      <c r="K69" s="812"/>
      <c r="L69" s="812"/>
    </row>
    <row r="70" spans="2:12" ht="12.75">
      <c r="B70" s="812"/>
      <c r="C70" s="812"/>
      <c r="D70" s="812"/>
      <c r="E70" s="812"/>
      <c r="F70" s="812"/>
      <c r="G70" s="812"/>
      <c r="H70" s="812"/>
      <c r="I70" s="812"/>
      <c r="J70" s="812"/>
      <c r="K70" s="812"/>
      <c r="L70" s="812"/>
    </row>
    <row r="71" spans="2:12" ht="12.75">
      <c r="B71" s="812"/>
      <c r="C71" s="812"/>
      <c r="D71" s="812"/>
      <c r="E71" s="812"/>
      <c r="F71" s="812"/>
      <c r="G71" s="812"/>
      <c r="H71" s="812"/>
      <c r="I71" s="812"/>
      <c r="J71" s="812"/>
      <c r="K71" s="812"/>
      <c r="L71" s="812"/>
    </row>
    <row r="72" spans="2:12" ht="12.75">
      <c r="B72" s="814" t="s">
        <v>634</v>
      </c>
      <c r="C72" s="817"/>
      <c r="D72" s="817"/>
      <c r="E72" s="817"/>
      <c r="F72" s="817"/>
      <c r="G72" s="817"/>
      <c r="H72" s="817"/>
      <c r="I72" s="817"/>
      <c r="J72" s="817"/>
      <c r="K72" s="817"/>
      <c r="L72" s="817"/>
    </row>
    <row r="73" spans="2:12" ht="12.75">
      <c r="B73" s="817"/>
      <c r="C73" s="817"/>
      <c r="D73" s="817"/>
      <c r="E73" s="817"/>
      <c r="F73" s="817"/>
      <c r="G73" s="817"/>
      <c r="H73" s="817"/>
      <c r="I73" s="817"/>
      <c r="J73" s="817"/>
      <c r="K73" s="817"/>
      <c r="L73" s="817"/>
    </row>
    <row r="74" spans="2:12" ht="12.75">
      <c r="B74" s="815"/>
      <c r="C74" s="815"/>
      <c r="D74" s="815"/>
      <c r="E74" s="815"/>
      <c r="F74" s="815"/>
      <c r="G74" s="815"/>
      <c r="H74" s="815"/>
      <c r="I74" s="815"/>
      <c r="J74" s="815"/>
      <c r="K74" s="815"/>
      <c r="L74" s="815"/>
    </row>
    <row r="76" spans="2:12" ht="12.75">
      <c r="B76" s="811" t="s">
        <v>635</v>
      </c>
      <c r="C76" s="813"/>
      <c r="D76" s="813"/>
      <c r="E76" s="813"/>
      <c r="F76" s="813"/>
      <c r="G76" s="813"/>
      <c r="H76" s="813"/>
      <c r="I76" s="813"/>
      <c r="J76" s="813"/>
      <c r="K76" s="813"/>
      <c r="L76" s="813"/>
    </row>
    <row r="77" spans="2:12" ht="12.75">
      <c r="B77" s="813"/>
      <c r="C77" s="813"/>
      <c r="D77" s="813"/>
      <c r="E77" s="813"/>
      <c r="F77" s="813"/>
      <c r="G77" s="813"/>
      <c r="H77" s="813"/>
      <c r="I77" s="813"/>
      <c r="J77" s="813"/>
      <c r="K77" s="813"/>
      <c r="L77" s="813"/>
    </row>
    <row r="78" spans="2:12" ht="12.75">
      <c r="B78" s="813"/>
      <c r="C78" s="813"/>
      <c r="D78" s="813"/>
      <c r="E78" s="813"/>
      <c r="F78" s="813"/>
      <c r="G78" s="813"/>
      <c r="H78" s="813"/>
      <c r="I78" s="813"/>
      <c r="J78" s="813"/>
      <c r="K78" s="813"/>
      <c r="L78" s="813"/>
    </row>
    <row r="79" spans="2:12" ht="12.75">
      <c r="B79" s="813"/>
      <c r="C79" s="813"/>
      <c r="D79" s="813"/>
      <c r="E79" s="813"/>
      <c r="F79" s="813"/>
      <c r="G79" s="813"/>
      <c r="H79" s="813"/>
      <c r="I79" s="813"/>
      <c r="J79" s="813"/>
      <c r="K79" s="813"/>
      <c r="L79" s="813"/>
    </row>
    <row r="80" spans="2:12" ht="12.75">
      <c r="B80" s="815"/>
      <c r="C80" s="815"/>
      <c r="D80" s="815"/>
      <c r="E80" s="815"/>
      <c r="F80" s="815"/>
      <c r="G80" s="815"/>
      <c r="H80" s="815"/>
      <c r="I80" s="815"/>
      <c r="J80" s="815"/>
      <c r="K80" s="815"/>
      <c r="L80" s="815"/>
    </row>
    <row r="81" spans="2:12" ht="12.75">
      <c r="B81" s="814" t="s">
        <v>636</v>
      </c>
      <c r="C81" s="813"/>
      <c r="D81" s="813"/>
      <c r="E81" s="813"/>
      <c r="F81" s="813"/>
      <c r="G81" s="813"/>
      <c r="H81" s="813"/>
      <c r="I81" s="813"/>
      <c r="J81" s="813"/>
      <c r="K81" s="813"/>
      <c r="L81" s="813"/>
    </row>
    <row r="82" spans="2:12" ht="12.75">
      <c r="B82" s="813"/>
      <c r="C82" s="813"/>
      <c r="D82" s="813"/>
      <c r="E82" s="813"/>
      <c r="F82" s="813"/>
      <c r="G82" s="813"/>
      <c r="H82" s="813"/>
      <c r="I82" s="813"/>
      <c r="J82" s="813"/>
      <c r="K82" s="813"/>
      <c r="L82" s="813"/>
    </row>
    <row r="83" spans="2:12" ht="12.75">
      <c r="B83" s="811" t="s">
        <v>637</v>
      </c>
      <c r="C83" s="813"/>
      <c r="D83" s="813"/>
      <c r="E83" s="813"/>
      <c r="F83" s="813"/>
      <c r="G83" s="813"/>
      <c r="H83" s="813"/>
      <c r="I83" s="813"/>
      <c r="J83" s="813"/>
      <c r="K83" s="813"/>
      <c r="L83" s="813"/>
    </row>
    <row r="84" spans="2:12" ht="12.75">
      <c r="B84" s="813"/>
      <c r="C84" s="813"/>
      <c r="D84" s="813"/>
      <c r="E84" s="813"/>
      <c r="F84" s="813"/>
      <c r="G84" s="813"/>
      <c r="H84" s="813"/>
      <c r="I84" s="813"/>
      <c r="J84" s="813"/>
      <c r="K84" s="813"/>
      <c r="L84" s="813"/>
    </row>
    <row r="85" spans="2:12" ht="12.75">
      <c r="B85" s="813"/>
      <c r="C85" s="813"/>
      <c r="D85" s="813"/>
      <c r="E85" s="813"/>
      <c r="F85" s="813"/>
      <c r="G85" s="813"/>
      <c r="H85" s="813"/>
      <c r="I85" s="813"/>
      <c r="J85" s="813"/>
      <c r="K85" s="813"/>
      <c r="L85" s="813"/>
    </row>
    <row r="86" spans="2:12" ht="12.75">
      <c r="B86" s="813"/>
      <c r="C86" s="813"/>
      <c r="D86" s="813"/>
      <c r="E86" s="813"/>
      <c r="F86" s="813"/>
      <c r="G86" s="813"/>
      <c r="H86" s="813"/>
      <c r="I86" s="813"/>
      <c r="J86" s="813"/>
      <c r="K86" s="813"/>
      <c r="L86" s="813"/>
    </row>
    <row r="87" spans="2:12" ht="12.75">
      <c r="B87" s="815"/>
      <c r="C87" s="815"/>
      <c r="D87" s="815"/>
      <c r="E87" s="815"/>
      <c r="F87" s="815"/>
      <c r="G87" s="815"/>
      <c r="H87" s="815"/>
      <c r="I87" s="815"/>
      <c r="J87" s="815"/>
      <c r="K87" s="815"/>
      <c r="L87" s="815"/>
    </row>
    <row r="88" spans="2:12" ht="12.75">
      <c r="B88" s="814" t="s">
        <v>638</v>
      </c>
      <c r="C88" s="813"/>
      <c r="D88" s="813"/>
      <c r="E88" s="813"/>
      <c r="F88" s="813"/>
      <c r="G88" s="813"/>
      <c r="H88" s="813"/>
      <c r="I88" s="813"/>
      <c r="J88" s="813"/>
      <c r="K88" s="813"/>
      <c r="L88" s="813"/>
    </row>
    <row r="89" spans="2:12" ht="12.75">
      <c r="B89" s="813"/>
      <c r="C89" s="813"/>
      <c r="D89" s="813"/>
      <c r="E89" s="813"/>
      <c r="F89" s="813"/>
      <c r="G89" s="813"/>
      <c r="H89" s="813"/>
      <c r="I89" s="813"/>
      <c r="J89" s="813"/>
      <c r="K89" s="813"/>
      <c r="L89" s="813"/>
    </row>
    <row r="90" spans="2:12" ht="12.75">
      <c r="B90" s="811" t="s">
        <v>639</v>
      </c>
      <c r="C90" s="812"/>
      <c r="D90" s="812"/>
      <c r="E90" s="812"/>
      <c r="F90" s="812"/>
      <c r="G90" s="812"/>
      <c r="H90" s="812"/>
      <c r="I90" s="812"/>
      <c r="J90" s="812"/>
      <c r="K90" s="812"/>
      <c r="L90" s="812"/>
    </row>
    <row r="91" spans="2:12" ht="12.75">
      <c r="B91" s="812"/>
      <c r="C91" s="812"/>
      <c r="D91" s="812"/>
      <c r="E91" s="812"/>
      <c r="F91" s="812"/>
      <c r="G91" s="812"/>
      <c r="H91" s="812"/>
      <c r="I91" s="812"/>
      <c r="J91" s="812"/>
      <c r="K91" s="812"/>
      <c r="L91" s="812"/>
    </row>
    <row r="92" spans="2:12" ht="12.75">
      <c r="B92" s="812"/>
      <c r="C92" s="812"/>
      <c r="D92" s="812"/>
      <c r="E92" s="812"/>
      <c r="F92" s="812"/>
      <c r="G92" s="812"/>
      <c r="H92" s="812"/>
      <c r="I92" s="812"/>
      <c r="J92" s="812"/>
      <c r="K92" s="812"/>
      <c r="L92" s="812"/>
    </row>
    <row r="94" spans="2:12" ht="12.75">
      <c r="B94" s="814" t="s">
        <v>640</v>
      </c>
      <c r="C94" s="813"/>
      <c r="D94" s="813"/>
      <c r="E94" s="813"/>
      <c r="F94" s="813"/>
      <c r="G94" s="813"/>
      <c r="H94" s="813"/>
      <c r="I94" s="813"/>
      <c r="J94" s="813"/>
      <c r="K94" s="813"/>
      <c r="L94" s="813"/>
    </row>
    <row r="95" spans="2:12" ht="12.75">
      <c r="B95" s="813"/>
      <c r="C95" s="813"/>
      <c r="D95" s="813"/>
      <c r="E95" s="813"/>
      <c r="F95" s="813"/>
      <c r="G95" s="813"/>
      <c r="H95" s="813"/>
      <c r="I95" s="813"/>
      <c r="J95" s="813"/>
      <c r="K95" s="813"/>
      <c r="L95" s="813"/>
    </row>
    <row r="96" spans="2:12" ht="12.75">
      <c r="B96" s="811" t="s">
        <v>641</v>
      </c>
      <c r="C96" s="812"/>
      <c r="D96" s="812"/>
      <c r="E96" s="812"/>
      <c r="F96" s="812"/>
      <c r="G96" s="812"/>
      <c r="H96" s="812"/>
      <c r="I96" s="812"/>
      <c r="J96" s="812"/>
      <c r="K96" s="812"/>
      <c r="L96" s="812"/>
    </row>
    <row r="97" spans="2:12" ht="12.75">
      <c r="B97" s="812"/>
      <c r="C97" s="812"/>
      <c r="D97" s="812"/>
      <c r="E97" s="812"/>
      <c r="F97" s="812"/>
      <c r="G97" s="812"/>
      <c r="H97" s="812"/>
      <c r="I97" s="812"/>
      <c r="J97" s="812"/>
      <c r="K97" s="812"/>
      <c r="L97" s="812"/>
    </row>
    <row r="98" spans="2:12" ht="12.75">
      <c r="B98" s="812"/>
      <c r="C98" s="812"/>
      <c r="D98" s="812"/>
      <c r="E98" s="812"/>
      <c r="F98" s="812"/>
      <c r="G98" s="812"/>
      <c r="H98" s="812"/>
      <c r="I98" s="812"/>
      <c r="J98" s="812"/>
      <c r="K98" s="812"/>
      <c r="L98" s="812"/>
    </row>
    <row r="100" spans="2:12" ht="12.75">
      <c r="B100" s="814" t="s">
        <v>642</v>
      </c>
      <c r="C100" s="813"/>
      <c r="D100" s="813"/>
      <c r="E100" s="813"/>
      <c r="F100" s="813"/>
      <c r="G100" s="813"/>
      <c r="H100" s="813"/>
      <c r="I100" s="813"/>
      <c r="J100" s="813"/>
      <c r="K100" s="813"/>
      <c r="L100" s="813"/>
    </row>
    <row r="101" spans="2:12" ht="12.75">
      <c r="B101" s="813"/>
      <c r="C101" s="813"/>
      <c r="D101" s="813"/>
      <c r="E101" s="813"/>
      <c r="F101" s="813"/>
      <c r="G101" s="813"/>
      <c r="H101" s="813"/>
      <c r="I101" s="813"/>
      <c r="J101" s="813"/>
      <c r="K101" s="813"/>
      <c r="L101" s="813"/>
    </row>
    <row r="102" spans="2:12" ht="12.75">
      <c r="B102" s="811" t="s">
        <v>643</v>
      </c>
      <c r="C102" s="813"/>
      <c r="D102" s="813"/>
      <c r="E102" s="813"/>
      <c r="F102" s="813"/>
      <c r="G102" s="813"/>
      <c r="H102" s="813"/>
      <c r="I102" s="813"/>
      <c r="J102" s="813"/>
      <c r="K102" s="813"/>
      <c r="L102" s="813"/>
    </row>
    <row r="103" spans="2:12" ht="12.75">
      <c r="B103" s="813"/>
      <c r="C103" s="813"/>
      <c r="D103" s="813"/>
      <c r="E103" s="813"/>
      <c r="F103" s="813"/>
      <c r="G103" s="813"/>
      <c r="H103" s="813"/>
      <c r="I103" s="813"/>
      <c r="J103" s="813"/>
      <c r="K103" s="813"/>
      <c r="L103" s="813"/>
    </row>
    <row r="104" spans="2:12" ht="12.75">
      <c r="B104" s="813"/>
      <c r="C104" s="813"/>
      <c r="D104" s="813"/>
      <c r="E104" s="813"/>
      <c r="F104" s="813"/>
      <c r="G104" s="813"/>
      <c r="H104" s="813"/>
      <c r="I104" s="813"/>
      <c r="J104" s="813"/>
      <c r="K104" s="813"/>
      <c r="L104" s="813"/>
    </row>
    <row r="105" spans="2:12" ht="12.75">
      <c r="B105" s="813"/>
      <c r="C105" s="813"/>
      <c r="D105" s="813"/>
      <c r="E105" s="813"/>
      <c r="F105" s="813"/>
      <c r="G105" s="813"/>
      <c r="H105" s="813"/>
      <c r="I105" s="813"/>
      <c r="J105" s="813"/>
      <c r="K105" s="813"/>
      <c r="L105" s="813"/>
    </row>
    <row r="106" spans="2:12" ht="12.75">
      <c r="B106" s="815"/>
      <c r="C106" s="815"/>
      <c r="D106" s="815"/>
      <c r="E106" s="815"/>
      <c r="F106" s="815"/>
      <c r="G106" s="815"/>
      <c r="H106" s="815"/>
      <c r="I106" s="815"/>
      <c r="J106" s="815"/>
      <c r="K106" s="815"/>
      <c r="L106" s="815"/>
    </row>
    <row r="107" spans="2:12" ht="12.75">
      <c r="B107" s="814" t="s">
        <v>648</v>
      </c>
      <c r="C107" s="813"/>
      <c r="D107" s="813"/>
      <c r="E107" s="813"/>
      <c r="F107" s="813"/>
      <c r="G107" s="813"/>
      <c r="H107" s="813"/>
      <c r="I107" s="813"/>
      <c r="J107" s="813"/>
      <c r="K107" s="813"/>
      <c r="L107" s="813"/>
    </row>
    <row r="108" spans="2:12" ht="12.75">
      <c r="B108" s="813"/>
      <c r="C108" s="813"/>
      <c r="D108" s="813"/>
      <c r="E108" s="813"/>
      <c r="F108" s="813"/>
      <c r="G108" s="813"/>
      <c r="H108" s="813"/>
      <c r="I108" s="813"/>
      <c r="J108" s="813"/>
      <c r="K108" s="813"/>
      <c r="L108" s="813"/>
    </row>
    <row r="109" spans="2:12" ht="12.75">
      <c r="B109" s="811" t="s">
        <v>649</v>
      </c>
      <c r="C109" s="813"/>
      <c r="D109" s="813"/>
      <c r="E109" s="813"/>
      <c r="F109" s="813"/>
      <c r="G109" s="813"/>
      <c r="H109" s="813"/>
      <c r="I109" s="813"/>
      <c r="J109" s="813"/>
      <c r="K109" s="813"/>
      <c r="L109" s="813"/>
    </row>
    <row r="110" spans="2:12" ht="12.75">
      <c r="B110" s="813"/>
      <c r="C110" s="813"/>
      <c r="D110" s="813"/>
      <c r="E110" s="813"/>
      <c r="F110" s="813"/>
      <c r="G110" s="813"/>
      <c r="H110" s="813"/>
      <c r="I110" s="813"/>
      <c r="J110" s="813"/>
      <c r="K110" s="813"/>
      <c r="L110" s="813"/>
    </row>
    <row r="111" spans="2:12" ht="12.75">
      <c r="B111" s="813"/>
      <c r="C111" s="813"/>
      <c r="D111" s="813"/>
      <c r="E111" s="813"/>
      <c r="F111" s="813"/>
      <c r="G111" s="813"/>
      <c r="H111" s="813"/>
      <c r="I111" s="813"/>
      <c r="J111" s="813"/>
      <c r="K111" s="813"/>
      <c r="L111" s="813"/>
    </row>
    <row r="112" spans="2:12" ht="12.75">
      <c r="B112" s="813"/>
      <c r="C112" s="813"/>
      <c r="D112" s="813"/>
      <c r="E112" s="813"/>
      <c r="F112" s="813"/>
      <c r="G112" s="813"/>
      <c r="H112" s="813"/>
      <c r="I112" s="813"/>
      <c r="J112" s="813"/>
      <c r="K112" s="813"/>
      <c r="L112" s="813"/>
    </row>
    <row r="113" spans="2:12" ht="12.75">
      <c r="B113" s="815"/>
      <c r="C113" s="815"/>
      <c r="D113" s="815"/>
      <c r="E113" s="815"/>
      <c r="F113" s="815"/>
      <c r="G113" s="815"/>
      <c r="H113" s="815"/>
      <c r="I113" s="815"/>
      <c r="J113" s="815"/>
      <c r="K113" s="815"/>
      <c r="L113" s="815"/>
    </row>
    <row r="114" spans="2:12" ht="12.75">
      <c r="B114" s="811" t="s">
        <v>650</v>
      </c>
      <c r="C114" s="812"/>
      <c r="D114" s="812"/>
      <c r="E114" s="812"/>
      <c r="F114" s="812"/>
      <c r="G114" s="812"/>
      <c r="H114" s="812"/>
      <c r="I114" s="812"/>
      <c r="J114" s="812"/>
      <c r="K114" s="812"/>
      <c r="L114" s="812"/>
    </row>
    <row r="115" spans="2:12" ht="12.75">
      <c r="B115" s="812"/>
      <c r="C115" s="812"/>
      <c r="D115" s="812"/>
      <c r="E115" s="812"/>
      <c r="F115" s="812"/>
      <c r="G115" s="812"/>
      <c r="H115" s="812"/>
      <c r="I115" s="812"/>
      <c r="J115" s="812"/>
      <c r="K115" s="812"/>
      <c r="L115" s="812"/>
    </row>
    <row r="116" spans="2:12" ht="12.75">
      <c r="B116" s="812"/>
      <c r="C116" s="812"/>
      <c r="D116" s="812"/>
      <c r="E116" s="812"/>
      <c r="F116" s="812"/>
      <c r="G116" s="812"/>
      <c r="H116" s="812"/>
      <c r="I116" s="812"/>
      <c r="J116" s="812"/>
      <c r="K116" s="812"/>
      <c r="L116" s="812"/>
    </row>
    <row r="117" spans="2:12" ht="12.75">
      <c r="B117" s="812"/>
      <c r="C117" s="812"/>
      <c r="D117" s="812"/>
      <c r="E117" s="812"/>
      <c r="F117" s="812"/>
      <c r="G117" s="812"/>
      <c r="H117" s="812"/>
      <c r="I117" s="812"/>
      <c r="J117" s="812"/>
      <c r="K117" s="812"/>
      <c r="L117" s="812"/>
    </row>
    <row r="118" spans="2:12" ht="12.75">
      <c r="B118" s="812"/>
      <c r="C118" s="812"/>
      <c r="D118" s="812"/>
      <c r="E118" s="812"/>
      <c r="F118" s="812"/>
      <c r="G118" s="812"/>
      <c r="H118" s="812"/>
      <c r="I118" s="812"/>
      <c r="J118" s="812"/>
      <c r="K118" s="812"/>
      <c r="L118" s="812"/>
    </row>
    <row r="119" spans="2:12" ht="12.75">
      <c r="B119" s="813"/>
      <c r="C119" s="813"/>
      <c r="D119" s="813"/>
      <c r="E119" s="813"/>
      <c r="F119" s="813"/>
      <c r="G119" s="813"/>
      <c r="H119" s="813"/>
      <c r="I119" s="813"/>
      <c r="J119" s="813"/>
      <c r="K119" s="813"/>
      <c r="L119" s="813"/>
    </row>
    <row r="120" spans="2:12" ht="12.75">
      <c r="B120" s="367"/>
      <c r="C120" s="367"/>
      <c r="D120" s="367"/>
      <c r="E120" s="367"/>
      <c r="F120" s="367"/>
      <c r="G120" s="367"/>
      <c r="H120" s="367"/>
      <c r="I120" s="367"/>
      <c r="J120" s="367"/>
      <c r="K120" s="367"/>
      <c r="L120" s="367"/>
    </row>
    <row r="121" spans="2:12" ht="12.75">
      <c r="B121" s="814" t="s">
        <v>652</v>
      </c>
      <c r="C121" s="813"/>
      <c r="D121" s="813"/>
      <c r="E121" s="813"/>
      <c r="F121" s="813"/>
      <c r="G121" s="813"/>
      <c r="H121" s="813"/>
      <c r="I121" s="813"/>
      <c r="J121" s="813"/>
      <c r="K121" s="813"/>
      <c r="L121" s="813"/>
    </row>
    <row r="122" spans="2:12" ht="12.75">
      <c r="B122" s="813"/>
      <c r="C122" s="813"/>
      <c r="D122" s="813"/>
      <c r="E122" s="813"/>
      <c r="F122" s="813"/>
      <c r="G122" s="813"/>
      <c r="H122" s="813"/>
      <c r="I122" s="813"/>
      <c r="J122" s="813"/>
      <c r="K122" s="813"/>
      <c r="L122" s="813"/>
    </row>
    <row r="123" spans="2:12" ht="12.75">
      <c r="B123" s="811" t="s">
        <v>653</v>
      </c>
      <c r="C123" s="813"/>
      <c r="D123" s="813"/>
      <c r="E123" s="813"/>
      <c r="F123" s="813"/>
      <c r="G123" s="813"/>
      <c r="H123" s="813"/>
      <c r="I123" s="813"/>
      <c r="J123" s="813"/>
      <c r="K123" s="813"/>
      <c r="L123" s="813"/>
    </row>
    <row r="124" spans="2:12" ht="12.75">
      <c r="B124" s="813"/>
      <c r="C124" s="813"/>
      <c r="D124" s="813"/>
      <c r="E124" s="813"/>
      <c r="F124" s="813"/>
      <c r="G124" s="813"/>
      <c r="H124" s="813"/>
      <c r="I124" s="813"/>
      <c r="J124" s="813"/>
      <c r="K124" s="813"/>
      <c r="L124" s="813"/>
    </row>
    <row r="125" spans="2:12" ht="12.75">
      <c r="B125" s="813"/>
      <c r="C125" s="813"/>
      <c r="D125" s="813"/>
      <c r="E125" s="813"/>
      <c r="F125" s="813"/>
      <c r="G125" s="813"/>
      <c r="H125" s="813"/>
      <c r="I125" s="813"/>
      <c r="J125" s="813"/>
      <c r="K125" s="813"/>
      <c r="L125" s="813"/>
    </row>
    <row r="126" spans="2:12" ht="12.75">
      <c r="B126" s="813"/>
      <c r="C126" s="813"/>
      <c r="D126" s="813"/>
      <c r="E126" s="813"/>
      <c r="F126" s="813"/>
      <c r="G126" s="813"/>
      <c r="H126" s="813"/>
      <c r="I126" s="813"/>
      <c r="J126" s="813"/>
      <c r="K126" s="813"/>
      <c r="L126" s="813"/>
    </row>
    <row r="127" spans="2:12" ht="12.75">
      <c r="B127" s="813"/>
      <c r="C127" s="813"/>
      <c r="D127" s="813"/>
      <c r="E127" s="813"/>
      <c r="F127" s="813"/>
      <c r="G127" s="813"/>
      <c r="H127" s="813"/>
      <c r="I127" s="813"/>
      <c r="J127" s="813"/>
      <c r="K127" s="813"/>
      <c r="L127" s="813"/>
    </row>
    <row r="128" spans="2:12" ht="12.75">
      <c r="B128" s="815"/>
      <c r="C128" s="815"/>
      <c r="D128" s="815"/>
      <c r="E128" s="815"/>
      <c r="F128" s="815"/>
      <c r="G128" s="815"/>
      <c r="H128" s="815"/>
      <c r="I128" s="815"/>
      <c r="J128" s="815"/>
      <c r="K128" s="815"/>
      <c r="L128" s="815"/>
    </row>
    <row r="129" spans="2:12" ht="12.75">
      <c r="B129" s="816" t="s">
        <v>644</v>
      </c>
      <c r="C129" s="816"/>
      <c r="D129" s="816"/>
      <c r="E129" s="816"/>
      <c r="F129" s="816"/>
      <c r="G129" s="816"/>
      <c r="H129" s="816"/>
      <c r="I129" s="816"/>
      <c r="J129" s="816"/>
      <c r="K129" s="816"/>
      <c r="L129" s="816"/>
    </row>
    <row r="130" spans="2:12" ht="12.75">
      <c r="B130" s="816"/>
      <c r="C130" s="816"/>
      <c r="D130" s="816"/>
      <c r="E130" s="816"/>
      <c r="F130" s="816"/>
      <c r="G130" s="816"/>
      <c r="H130" s="816"/>
      <c r="I130" s="816"/>
      <c r="J130" s="816"/>
      <c r="K130" s="816"/>
      <c r="L130" s="816"/>
    </row>
    <row r="131" spans="2:12" ht="12.75">
      <c r="B131" s="816"/>
      <c r="C131" s="816"/>
      <c r="D131" s="816"/>
      <c r="E131" s="816"/>
      <c r="F131" s="816"/>
      <c r="G131" s="816"/>
      <c r="H131" s="816"/>
      <c r="I131" s="816"/>
      <c r="J131" s="816"/>
      <c r="K131" s="816"/>
      <c r="L131" s="816"/>
    </row>
    <row r="132" spans="2:12" ht="12.75">
      <c r="B132" s="816"/>
      <c r="C132" s="816"/>
      <c r="D132" s="816"/>
      <c r="E132" s="816"/>
      <c r="F132" s="816"/>
      <c r="G132" s="816"/>
      <c r="H132" s="816"/>
      <c r="I132" s="816"/>
      <c r="J132" s="816"/>
      <c r="K132" s="816"/>
      <c r="L132" s="816"/>
    </row>
    <row r="133" spans="2:12" ht="12.75">
      <c r="B133" s="816"/>
      <c r="C133" s="816"/>
      <c r="D133" s="816"/>
      <c r="E133" s="816"/>
      <c r="F133" s="816"/>
      <c r="G133" s="816"/>
      <c r="H133" s="816"/>
      <c r="I133" s="816"/>
      <c r="J133" s="816"/>
      <c r="K133" s="816"/>
      <c r="L133" s="816"/>
    </row>
    <row r="134" spans="2:12" ht="12.75">
      <c r="B134" s="816"/>
      <c r="C134" s="816"/>
      <c r="D134" s="816"/>
      <c r="E134" s="816"/>
      <c r="F134" s="816"/>
      <c r="G134" s="816"/>
      <c r="H134" s="816"/>
      <c r="I134" s="816"/>
      <c r="J134" s="816"/>
      <c r="K134" s="816"/>
      <c r="L134" s="816"/>
    </row>
    <row r="135" spans="2:12" ht="12.75">
      <c r="B135" s="816"/>
      <c r="C135" s="816"/>
      <c r="D135" s="816"/>
      <c r="E135" s="816"/>
      <c r="F135" s="816"/>
      <c r="G135" s="816"/>
      <c r="H135" s="816"/>
      <c r="I135" s="816"/>
      <c r="J135" s="816"/>
      <c r="K135" s="816"/>
      <c r="L135" s="816"/>
    </row>
    <row r="136" spans="2:12" ht="12.75">
      <c r="B136" s="816"/>
      <c r="C136" s="816"/>
      <c r="D136" s="816"/>
      <c r="E136" s="816"/>
      <c r="F136" s="816"/>
      <c r="G136" s="816"/>
      <c r="H136" s="816"/>
      <c r="I136" s="816"/>
      <c r="J136" s="816"/>
      <c r="K136" s="816"/>
      <c r="L136" s="816"/>
    </row>
    <row r="137" spans="2:12" ht="15">
      <c r="B137" s="625" t="s">
        <v>651</v>
      </c>
      <c r="C137" s="366"/>
      <c r="D137" s="366"/>
      <c r="E137" s="366"/>
      <c r="F137" s="366"/>
      <c r="G137" s="366"/>
      <c r="H137" s="366"/>
      <c r="I137" s="366"/>
      <c r="J137" s="366"/>
      <c r="K137" s="366"/>
      <c r="L137" s="366"/>
    </row>
  </sheetData>
  <mergeCells count="31">
    <mergeCell ref="B42:L46"/>
    <mergeCell ref="B25:L27"/>
    <mergeCell ref="B47:L51"/>
    <mergeCell ref="B52:L57"/>
    <mergeCell ref="B35:L39"/>
    <mergeCell ref="B40:L41"/>
    <mergeCell ref="B59:L61"/>
    <mergeCell ref="B72:L74"/>
    <mergeCell ref="B12:L14"/>
    <mergeCell ref="B16:L18"/>
    <mergeCell ref="B19:L20"/>
    <mergeCell ref="B21:L23"/>
    <mergeCell ref="B29:L30"/>
    <mergeCell ref="B31:L33"/>
    <mergeCell ref="B63:L66"/>
    <mergeCell ref="B67:L71"/>
    <mergeCell ref="B129:L136"/>
    <mergeCell ref="B107:L108"/>
    <mergeCell ref="B109:L113"/>
    <mergeCell ref="B76:L80"/>
    <mergeCell ref="B96:L98"/>
    <mergeCell ref="B94:L95"/>
    <mergeCell ref="B83:L87"/>
    <mergeCell ref="B81:L82"/>
    <mergeCell ref="B88:L89"/>
    <mergeCell ref="B90:L92"/>
    <mergeCell ref="B114:L119"/>
    <mergeCell ref="B121:L122"/>
    <mergeCell ref="B123:L128"/>
    <mergeCell ref="B100:L101"/>
    <mergeCell ref="B102:L106"/>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233"/>
  <sheetViews>
    <sheetView workbookViewId="0" topLeftCell="A1">
      <selection activeCell="P1" sqref="P1:R16384"/>
    </sheetView>
  </sheetViews>
  <sheetFormatPr defaultColWidth="11.421875" defaultRowHeight="12.75"/>
  <cols>
    <col min="1" max="1" width="5.421875" style="368" customWidth="1"/>
    <col min="2" max="2" width="11.421875" style="368" customWidth="1"/>
    <col min="3" max="3" width="8.28125" style="368" customWidth="1"/>
    <col min="4" max="4" width="6.57421875" style="368" customWidth="1"/>
    <col min="5" max="5" width="6.8515625" style="368" customWidth="1"/>
    <col min="6" max="6" width="11.421875" style="368" customWidth="1"/>
    <col min="7" max="7" width="7.7109375" style="368" customWidth="1"/>
    <col min="8" max="8" width="7.140625" style="368" customWidth="1"/>
    <col min="9" max="14" width="11.421875" style="368" customWidth="1"/>
    <col min="15" max="17" width="8.28125" style="368" customWidth="1"/>
    <col min="18" max="18" width="11.421875" style="368" customWidth="1"/>
    <col min="19" max="19" width="9.00390625" style="0" customWidth="1"/>
    <col min="20" max="20" width="8.28125" style="0" customWidth="1"/>
    <col min="21" max="21" width="11.00390625" style="0" customWidth="1"/>
    <col min="22" max="28" width="4.7109375" style="0" customWidth="1"/>
  </cols>
  <sheetData>
    <row r="1" spans="1:18" s="13" customFormat="1" ht="18.75" thickBot="1">
      <c r="A1" s="389"/>
      <c r="B1" s="397" t="s">
        <v>585</v>
      </c>
      <c r="C1" s="398"/>
      <c r="D1" s="398"/>
      <c r="E1" s="398"/>
      <c r="F1" s="398"/>
      <c r="G1" s="398"/>
      <c r="H1" s="398"/>
      <c r="I1" s="398"/>
      <c r="J1" s="398"/>
      <c r="K1" s="398"/>
      <c r="L1" s="398"/>
      <c r="M1" s="398"/>
      <c r="N1" s="398"/>
      <c r="O1" s="398"/>
      <c r="P1" s="398"/>
      <c r="Q1" s="398"/>
      <c r="R1" s="398"/>
    </row>
    <row r="2" spans="1:18" s="16" customFormat="1" ht="18">
      <c r="A2" s="390"/>
      <c r="B2" s="399"/>
      <c r="C2" s="390"/>
      <c r="D2" s="390"/>
      <c r="E2" s="390"/>
      <c r="F2" s="390"/>
      <c r="G2" s="390"/>
      <c r="H2" s="390"/>
      <c r="I2" s="390"/>
      <c r="J2" s="390"/>
      <c r="K2" s="390"/>
      <c r="L2" s="390"/>
      <c r="M2" s="390"/>
      <c r="N2" s="390"/>
      <c r="O2" s="390"/>
      <c r="P2" s="390"/>
      <c r="Q2" s="390"/>
      <c r="R2" s="390"/>
    </row>
    <row r="3" spans="13:24" ht="20.25">
      <c r="M3" s="110"/>
      <c r="N3" s="447"/>
      <c r="O3" s="447"/>
      <c r="P3" s="447"/>
      <c r="Q3" s="447"/>
      <c r="R3" s="447"/>
      <c r="S3" s="63"/>
      <c r="T3" s="63"/>
      <c r="U3" s="14"/>
      <c r="V3" s="14"/>
      <c r="W3" s="14"/>
      <c r="X3" s="14"/>
    </row>
    <row r="4" spans="13:24" ht="12.75">
      <c r="M4" s="390"/>
      <c r="N4" s="390"/>
      <c r="O4" s="390"/>
      <c r="P4" s="390"/>
      <c r="Q4" s="390"/>
      <c r="R4" s="390"/>
      <c r="S4" s="130"/>
      <c r="T4" s="130"/>
      <c r="U4" s="14"/>
      <c r="V4" s="14"/>
      <c r="W4" s="14"/>
      <c r="X4" s="14"/>
    </row>
    <row r="5" spans="2:24" ht="15.75">
      <c r="B5" s="129" t="s">
        <v>161</v>
      </c>
      <c r="F5" s="400"/>
      <c r="G5" s="400"/>
      <c r="H5" s="129" t="s">
        <v>184</v>
      </c>
      <c r="K5" s="401"/>
      <c r="L5" s="401"/>
      <c r="M5" s="390"/>
      <c r="N5" s="390"/>
      <c r="O5" s="390"/>
      <c r="P5" s="390"/>
      <c r="Q5" s="390"/>
      <c r="R5" s="390"/>
      <c r="S5" s="130"/>
      <c r="T5" s="130"/>
      <c r="U5" s="14"/>
      <c r="V5" s="14"/>
      <c r="W5" s="14"/>
      <c r="X5" s="14"/>
    </row>
    <row r="6" spans="2:20" ht="12.75">
      <c r="B6" s="111"/>
      <c r="C6" s="111"/>
      <c r="D6" s="405"/>
      <c r="E6" s="405"/>
      <c r="F6" s="405"/>
      <c r="G6" s="405"/>
      <c r="H6" s="390"/>
      <c r="I6" s="401"/>
      <c r="J6" s="401"/>
      <c r="K6" s="401"/>
      <c r="L6" s="401"/>
      <c r="M6" s="390"/>
      <c r="N6" s="390"/>
      <c r="O6" s="390"/>
      <c r="P6" s="390"/>
      <c r="Q6" s="390"/>
      <c r="R6" s="390"/>
      <c r="S6" s="130"/>
      <c r="T6" s="130"/>
    </row>
    <row r="7" spans="2:20" ht="13.5" thickBot="1">
      <c r="B7" s="111" t="s">
        <v>163</v>
      </c>
      <c r="C7" s="111"/>
      <c r="D7" s="113"/>
      <c r="E7" s="448" t="s">
        <v>164</v>
      </c>
      <c r="F7" s="113"/>
      <c r="G7" s="401"/>
      <c r="H7" s="129" t="s">
        <v>146</v>
      </c>
      <c r="I7" s="401"/>
      <c r="J7" s="401"/>
      <c r="K7" s="401"/>
      <c r="L7" s="449" t="s">
        <v>185</v>
      </c>
      <c r="M7" s="410"/>
      <c r="N7" s="407"/>
      <c r="O7" s="373" t="s">
        <v>581</v>
      </c>
      <c r="P7" s="410"/>
      <c r="Q7" s="390"/>
      <c r="R7" s="494"/>
      <c r="S7" s="16"/>
      <c r="T7" s="130"/>
    </row>
    <row r="8" spans="2:20" ht="13.5" thickBot="1">
      <c r="B8" s="351" t="s">
        <v>162</v>
      </c>
      <c r="C8" s="381" t="s">
        <v>0</v>
      </c>
      <c r="D8" s="390"/>
      <c r="E8" s="381" t="s">
        <v>162</v>
      </c>
      <c r="F8" s="371" t="s">
        <v>0</v>
      </c>
      <c r="G8" s="390"/>
      <c r="I8" s="729" t="s">
        <v>179</v>
      </c>
      <c r="J8" s="730"/>
      <c r="K8" s="404"/>
      <c r="L8" s="410"/>
      <c r="M8" s="450"/>
      <c r="N8" s="403"/>
      <c r="O8" s="451"/>
      <c r="P8" s="495" t="s">
        <v>179</v>
      </c>
      <c r="Q8" s="390"/>
      <c r="R8" s="390"/>
      <c r="S8" s="16"/>
      <c r="T8" s="130"/>
    </row>
    <row r="9" spans="2:20" ht="13.5" thickBot="1">
      <c r="B9" s="349">
        <v>10</v>
      </c>
      <c r="C9" s="387">
        <v>0.663</v>
      </c>
      <c r="D9" s="390"/>
      <c r="E9" s="349">
        <v>10</v>
      </c>
      <c r="F9" s="387">
        <v>0.885</v>
      </c>
      <c r="G9" s="390"/>
      <c r="H9" s="420" t="s">
        <v>61</v>
      </c>
      <c r="I9" s="427" t="s">
        <v>0</v>
      </c>
      <c r="J9" s="427" t="s">
        <v>0</v>
      </c>
      <c r="L9" s="381" t="s">
        <v>61</v>
      </c>
      <c r="M9" s="348" t="s">
        <v>0</v>
      </c>
      <c r="N9" s="412"/>
      <c r="O9" s="452" t="s">
        <v>61</v>
      </c>
      <c r="P9" s="478" t="s">
        <v>0</v>
      </c>
      <c r="Q9" s="401"/>
      <c r="R9" s="496"/>
      <c r="S9" s="59"/>
      <c r="T9" s="130"/>
    </row>
    <row r="10" spans="2:20" ht="13.5" thickBot="1">
      <c r="B10" s="349">
        <v>9</v>
      </c>
      <c r="C10" s="387">
        <v>0.658</v>
      </c>
      <c r="D10" s="390"/>
      <c r="E10" s="349">
        <v>9</v>
      </c>
      <c r="F10" s="387">
        <v>0.882</v>
      </c>
      <c r="G10" s="390"/>
      <c r="H10" s="442">
        <v>10</v>
      </c>
      <c r="I10" s="443">
        <v>1.94</v>
      </c>
      <c r="J10" s="443">
        <v>1.94</v>
      </c>
      <c r="L10" s="442">
        <v>10</v>
      </c>
      <c r="M10" s="443">
        <v>3.12</v>
      </c>
      <c r="N10" s="453"/>
      <c r="O10" s="452">
        <v>10</v>
      </c>
      <c r="P10" s="497">
        <v>1.94</v>
      </c>
      <c r="Q10" s="415"/>
      <c r="R10" s="496"/>
      <c r="S10" s="31"/>
      <c r="T10" s="130"/>
    </row>
    <row r="11" spans="2:20" ht="13.5" thickBot="1">
      <c r="B11" s="349">
        <v>8</v>
      </c>
      <c r="C11" s="387">
        <v>0.654</v>
      </c>
      <c r="D11" s="390"/>
      <c r="E11" s="349">
        <v>8</v>
      </c>
      <c r="F11" s="387">
        <v>0.878</v>
      </c>
      <c r="G11" s="390"/>
      <c r="H11" s="442">
        <v>9</v>
      </c>
      <c r="I11" s="443">
        <v>1.39</v>
      </c>
      <c r="J11" s="443">
        <v>1.39</v>
      </c>
      <c r="L11" s="442">
        <v>9</v>
      </c>
      <c r="M11" s="443">
        <v>2.89</v>
      </c>
      <c r="N11" s="454"/>
      <c r="O11" s="425">
        <v>9</v>
      </c>
      <c r="P11" s="497">
        <v>1.39</v>
      </c>
      <c r="Q11" s="415"/>
      <c r="R11" s="496"/>
      <c r="S11" s="31"/>
      <c r="T11" s="130"/>
    </row>
    <row r="12" spans="2:20" ht="13.5" thickBot="1">
      <c r="B12" s="349">
        <v>7</v>
      </c>
      <c r="C12" s="387">
        <v>0.646</v>
      </c>
      <c r="D12" s="390"/>
      <c r="E12" s="349">
        <v>7</v>
      </c>
      <c r="F12" s="387">
        <v>0.872</v>
      </c>
      <c r="G12" s="405"/>
      <c r="H12" s="442">
        <v>8</v>
      </c>
      <c r="I12" s="443">
        <v>0.83</v>
      </c>
      <c r="J12" s="443">
        <v>0.83</v>
      </c>
      <c r="L12" s="442">
        <v>8</v>
      </c>
      <c r="M12" s="443">
        <v>2.56</v>
      </c>
      <c r="N12" s="454"/>
      <c r="O12" s="425">
        <v>8</v>
      </c>
      <c r="P12" s="497">
        <v>0.93</v>
      </c>
      <c r="Q12" s="415"/>
      <c r="R12" s="496"/>
      <c r="S12" s="31"/>
      <c r="T12" s="130"/>
    </row>
    <row r="13" spans="2:20" ht="13.5" thickBot="1">
      <c r="B13" s="349">
        <v>6</v>
      </c>
      <c r="C13" s="387">
        <v>0.638</v>
      </c>
      <c r="D13" s="390"/>
      <c r="E13" s="349">
        <v>6</v>
      </c>
      <c r="F13" s="387">
        <v>0.865</v>
      </c>
      <c r="G13" s="415"/>
      <c r="H13" s="442">
        <v>7</v>
      </c>
      <c r="I13" s="443">
        <v>0.37</v>
      </c>
      <c r="J13" s="443">
        <v>0.37</v>
      </c>
      <c r="L13" s="442">
        <v>7</v>
      </c>
      <c r="M13" s="443">
        <v>2.15</v>
      </c>
      <c r="N13" s="454"/>
      <c r="O13" s="425">
        <v>7</v>
      </c>
      <c r="P13" s="497">
        <v>0.62</v>
      </c>
      <c r="Q13" s="415"/>
      <c r="R13" s="496"/>
      <c r="S13" s="31"/>
      <c r="T13" s="130"/>
    </row>
    <row r="14" spans="2:20" ht="13.5" thickBot="1">
      <c r="B14" s="349">
        <v>5</v>
      </c>
      <c r="C14" s="387">
        <v>0.613</v>
      </c>
      <c r="D14" s="390"/>
      <c r="E14" s="349">
        <v>5</v>
      </c>
      <c r="F14" s="387">
        <v>0.844</v>
      </c>
      <c r="G14" s="415"/>
      <c r="H14" s="444">
        <v>6</v>
      </c>
      <c r="I14" s="445">
        <v>0.09</v>
      </c>
      <c r="J14" s="445">
        <v>0.09</v>
      </c>
      <c r="L14" s="442">
        <v>6</v>
      </c>
      <c r="M14" s="443">
        <v>1.67</v>
      </c>
      <c r="N14" s="454"/>
      <c r="O14" s="425">
        <v>6</v>
      </c>
      <c r="P14" s="497">
        <v>0.43</v>
      </c>
      <c r="Q14" s="415"/>
      <c r="R14" s="496"/>
      <c r="S14" s="31"/>
      <c r="T14" s="130"/>
    </row>
    <row r="15" spans="2:20" ht="13.5" thickBot="1">
      <c r="B15" s="349">
        <v>4</v>
      </c>
      <c r="C15" s="387">
        <v>0.546</v>
      </c>
      <c r="D15" s="390"/>
      <c r="E15" s="349">
        <v>4</v>
      </c>
      <c r="F15" s="387">
        <v>0.785</v>
      </c>
      <c r="G15" s="415"/>
      <c r="H15" s="408">
        <v>5</v>
      </c>
      <c r="I15" s="443">
        <v>0</v>
      </c>
      <c r="J15" s="443">
        <v>0</v>
      </c>
      <c r="L15" s="442">
        <v>5</v>
      </c>
      <c r="M15" s="443">
        <v>1.19</v>
      </c>
      <c r="N15" s="454"/>
      <c r="O15" s="425">
        <v>5</v>
      </c>
      <c r="P15" s="497">
        <v>0.28</v>
      </c>
      <c r="Q15" s="415"/>
      <c r="R15" s="496"/>
      <c r="S15" s="31"/>
      <c r="T15" s="130"/>
    </row>
    <row r="16" spans="2:20" ht="13.5" thickBot="1">
      <c r="B16" s="349">
        <v>3</v>
      </c>
      <c r="C16" s="387">
        <v>0.492</v>
      </c>
      <c r="D16" s="390"/>
      <c r="E16" s="349">
        <v>3</v>
      </c>
      <c r="F16" s="387">
        <v>0.736</v>
      </c>
      <c r="G16" s="415"/>
      <c r="H16" s="408">
        <v>4</v>
      </c>
      <c r="I16" s="445">
        <v>0</v>
      </c>
      <c r="J16" s="445">
        <v>0</v>
      </c>
      <c r="L16" s="442">
        <v>4</v>
      </c>
      <c r="M16" s="443">
        <v>0.77</v>
      </c>
      <c r="N16" s="454"/>
      <c r="O16" s="425">
        <v>4</v>
      </c>
      <c r="P16" s="497">
        <v>0.12</v>
      </c>
      <c r="Q16" s="415"/>
      <c r="R16" s="496"/>
      <c r="S16" s="31"/>
      <c r="T16" s="130"/>
    </row>
    <row r="17" spans="2:20" ht="13.5" thickBot="1">
      <c r="B17" s="349">
        <v>2</v>
      </c>
      <c r="C17" s="387">
        <v>0.45</v>
      </c>
      <c r="D17" s="390"/>
      <c r="E17" s="349">
        <v>2</v>
      </c>
      <c r="F17" s="387">
        <v>0.69</v>
      </c>
      <c r="G17" s="415"/>
      <c r="H17" s="438">
        <v>3</v>
      </c>
      <c r="I17" s="455">
        <v>0</v>
      </c>
      <c r="J17" s="455">
        <v>0</v>
      </c>
      <c r="L17" s="442">
        <v>3</v>
      </c>
      <c r="M17" s="443">
        <v>0.45</v>
      </c>
      <c r="N17" s="454"/>
      <c r="O17" s="425">
        <v>3</v>
      </c>
      <c r="P17" s="498">
        <v>0.03</v>
      </c>
      <c r="Q17" s="415"/>
      <c r="R17" s="390"/>
      <c r="S17" s="130"/>
      <c r="T17" s="130"/>
    </row>
    <row r="18" spans="2:20" ht="13.5" thickBot="1">
      <c r="B18" s="349">
        <v>1</v>
      </c>
      <c r="C18" s="387">
        <v>0.346</v>
      </c>
      <c r="D18" s="390"/>
      <c r="E18" s="349">
        <v>1</v>
      </c>
      <c r="F18" s="387">
        <v>0.57</v>
      </c>
      <c r="G18" s="415"/>
      <c r="H18" s="113"/>
      <c r="I18" s="401"/>
      <c r="J18" s="407"/>
      <c r="L18" s="442">
        <v>2</v>
      </c>
      <c r="M18" s="443">
        <v>0.22</v>
      </c>
      <c r="N18" s="415"/>
      <c r="P18" s="401"/>
      <c r="Q18" s="415"/>
      <c r="S18" s="130"/>
      <c r="T18" s="130"/>
    </row>
    <row r="19" spans="4:20" ht="12.75">
      <c r="D19" s="390"/>
      <c r="G19" s="415"/>
      <c r="H19" s="448"/>
      <c r="I19" s="447"/>
      <c r="J19" s="390"/>
      <c r="K19" s="390"/>
      <c r="L19" s="442">
        <v>1</v>
      </c>
      <c r="M19" s="443">
        <v>0.08</v>
      </c>
      <c r="N19" s="415"/>
      <c r="P19" s="401"/>
      <c r="Q19" s="415"/>
      <c r="S19" s="130"/>
      <c r="T19" s="130"/>
    </row>
    <row r="20" spans="2:20" ht="13.5" thickBot="1">
      <c r="B20" s="113" t="s">
        <v>191</v>
      </c>
      <c r="D20" s="390"/>
      <c r="G20" s="415"/>
      <c r="H20" s="390"/>
      <c r="I20" s="390"/>
      <c r="J20" s="457"/>
      <c r="K20" s="403"/>
      <c r="L20" s="444">
        <v>0</v>
      </c>
      <c r="M20" s="445">
        <v>0.02</v>
      </c>
      <c r="S20" s="130"/>
      <c r="T20" s="130"/>
    </row>
    <row r="21" spans="2:20" ht="13.5" thickBot="1">
      <c r="B21" s="381" t="s">
        <v>162</v>
      </c>
      <c r="C21" s="381" t="s">
        <v>0</v>
      </c>
      <c r="D21" s="390"/>
      <c r="G21" s="415"/>
      <c r="H21" s="401"/>
      <c r="I21" s="401"/>
      <c r="J21" s="401"/>
      <c r="K21" s="401"/>
      <c r="L21" s="401"/>
      <c r="M21" s="390"/>
      <c r="S21" s="130"/>
      <c r="T21" s="130"/>
    </row>
    <row r="22" spans="2:20" ht="13.5" thickBot="1">
      <c r="B22" s="420" t="s">
        <v>154</v>
      </c>
      <c r="C22" s="493">
        <f>1/6</f>
        <v>0.16666666666666666</v>
      </c>
      <c r="D22" s="390"/>
      <c r="G22" s="415"/>
      <c r="H22" s="403"/>
      <c r="I22" s="404"/>
      <c r="J22" s="458"/>
      <c r="K22" s="458"/>
      <c r="L22" s="129"/>
      <c r="S22" s="130"/>
      <c r="T22" s="130"/>
    </row>
    <row r="23" spans="4:20" ht="13.5" thickBot="1">
      <c r="D23" s="390"/>
      <c r="G23" s="415"/>
      <c r="H23" s="403"/>
      <c r="I23" s="404"/>
      <c r="J23" s="458"/>
      <c r="K23" s="458"/>
      <c r="S23" s="130"/>
      <c r="T23" s="130"/>
    </row>
    <row r="24" spans="4:20" ht="13.5" thickBot="1">
      <c r="D24" s="390"/>
      <c r="G24" s="401"/>
      <c r="H24" s="403"/>
      <c r="I24" s="404"/>
      <c r="J24" s="458"/>
      <c r="K24" s="458"/>
      <c r="L24" s="347"/>
      <c r="M24" s="348"/>
      <c r="S24" s="130"/>
      <c r="T24" s="130"/>
    </row>
    <row r="25" spans="4:21" ht="13.5" thickBot="1">
      <c r="D25" s="390"/>
      <c r="G25" s="415"/>
      <c r="H25" s="733"/>
      <c r="I25" s="734"/>
      <c r="J25" s="459"/>
      <c r="L25" s="349"/>
      <c r="M25" s="350"/>
      <c r="S25" s="130"/>
      <c r="T25" s="130"/>
      <c r="U25" s="1"/>
    </row>
    <row r="26" spans="4:20" ht="12.75">
      <c r="D26" s="390"/>
      <c r="G26" s="415"/>
      <c r="S26" s="130"/>
      <c r="T26" s="130"/>
    </row>
    <row r="27" spans="19:20" ht="13.5" thickBot="1">
      <c r="S27" s="130"/>
      <c r="T27" s="130"/>
    </row>
    <row r="28" spans="1:20" ht="16.5" thickBot="1">
      <c r="A28" s="391"/>
      <c r="B28" s="416" t="s">
        <v>11</v>
      </c>
      <c r="C28" s="417" t="s">
        <v>17</v>
      </c>
      <c r="D28" s="418"/>
      <c r="E28" s="418"/>
      <c r="F28" s="418"/>
      <c r="G28" s="418"/>
      <c r="H28" s="419"/>
      <c r="J28" s="738" t="s">
        <v>167</v>
      </c>
      <c r="K28" s="732"/>
      <c r="L28" s="735" t="s">
        <v>117</v>
      </c>
      <c r="M28" s="736"/>
      <c r="N28" s="737"/>
      <c r="O28" s="381" t="s">
        <v>171</v>
      </c>
      <c r="P28" s="739" t="s">
        <v>174</v>
      </c>
      <c r="Q28" s="732"/>
      <c r="S28" s="130"/>
      <c r="T28" s="130"/>
    </row>
    <row r="29" spans="1:20" ht="13.5" thickBot="1">
      <c r="A29" s="389"/>
      <c r="B29" s="398"/>
      <c r="C29" s="398"/>
      <c r="D29" s="398"/>
      <c r="E29" s="398"/>
      <c r="F29" s="398"/>
      <c r="G29" s="398"/>
      <c r="H29" s="398"/>
      <c r="I29" s="420" t="s">
        <v>166</v>
      </c>
      <c r="J29" s="351" t="s">
        <v>168</v>
      </c>
      <c r="K29" s="460" t="s">
        <v>121</v>
      </c>
      <c r="L29" s="463" t="s">
        <v>118</v>
      </c>
      <c r="M29" s="429" t="s">
        <v>170</v>
      </c>
      <c r="N29" s="457" t="s">
        <v>116</v>
      </c>
      <c r="O29" s="429" t="s">
        <v>175</v>
      </c>
      <c r="P29" s="499" t="s">
        <v>176</v>
      </c>
      <c r="Q29" s="500" t="s">
        <v>175</v>
      </c>
      <c r="S29" s="130"/>
      <c r="T29" s="130"/>
    </row>
    <row r="30" spans="1:20" ht="13.5" thickBot="1">
      <c r="A30" s="392"/>
      <c r="B30" s="421" t="s">
        <v>12</v>
      </c>
      <c r="C30" s="422"/>
      <c r="D30" s="422"/>
      <c r="E30" s="422"/>
      <c r="F30" s="422"/>
      <c r="G30" s="422"/>
      <c r="H30" s="423"/>
      <c r="I30" s="350">
        <f>SUM(I31:I76)</f>
        <v>0</v>
      </c>
      <c r="J30" s="350"/>
      <c r="K30" s="350">
        <f>SUM(K31:K76)</f>
        <v>0</v>
      </c>
      <c r="L30" s="459"/>
      <c r="M30" s="459"/>
      <c r="N30" s="466">
        <f>SUM(N31:N76)</f>
        <v>0</v>
      </c>
      <c r="O30" s="466">
        <f>SUM(O31:O76)</f>
        <v>0</v>
      </c>
      <c r="P30" s="501"/>
      <c r="Q30" s="501">
        <f>SUM(Q31:Q76)</f>
        <v>0</v>
      </c>
      <c r="S30" s="130"/>
      <c r="T30" s="130"/>
    </row>
    <row r="31" spans="1:20" ht="15.75">
      <c r="A31" s="393">
        <v>1</v>
      </c>
      <c r="B31" s="426" t="s">
        <v>248</v>
      </c>
      <c r="C31" s="390"/>
      <c r="D31" s="390"/>
      <c r="I31" s="425"/>
      <c r="J31" s="425"/>
      <c r="K31" s="425"/>
      <c r="L31" s="467"/>
      <c r="M31" s="467"/>
      <c r="N31" s="468"/>
      <c r="O31" s="469"/>
      <c r="P31" s="482"/>
      <c r="Q31" s="483"/>
      <c r="S31" s="130"/>
      <c r="T31" s="130"/>
    </row>
    <row r="32" spans="1:20" ht="15.75">
      <c r="A32" s="393"/>
      <c r="B32" s="426"/>
      <c r="C32" s="390" t="s">
        <v>495</v>
      </c>
      <c r="D32" s="390"/>
      <c r="I32" s="425">
        <f>'CUARTEL GENERAL'!E5+'CUARTEL GENERAL'!E6</f>
        <v>0</v>
      </c>
      <c r="J32" s="425">
        <f>4+'CUARTEL GENERAL'!E6</f>
        <v>4</v>
      </c>
      <c r="K32" s="425">
        <f>(J32*(I32))</f>
        <v>0</v>
      </c>
      <c r="L32" s="467">
        <f>I14</f>
        <v>0.09</v>
      </c>
      <c r="M32" s="467">
        <f>C14</f>
        <v>0.613</v>
      </c>
      <c r="N32" s="468">
        <f>K32*L32*M32</f>
        <v>0</v>
      </c>
      <c r="O32" s="470">
        <f>N32</f>
        <v>0</v>
      </c>
      <c r="P32" s="482">
        <v>5</v>
      </c>
      <c r="Q32" s="484">
        <f>P32*K32</f>
        <v>0</v>
      </c>
      <c r="S32" s="130"/>
      <c r="T32" s="130"/>
    </row>
    <row r="33" spans="1:20" ht="15.75">
      <c r="A33" s="393"/>
      <c r="B33" s="426"/>
      <c r="C33" s="390" t="s">
        <v>493</v>
      </c>
      <c r="D33" s="390"/>
      <c r="I33" s="425"/>
      <c r="J33" s="425">
        <v>1</v>
      </c>
      <c r="K33" s="425">
        <f>J33*(I32)</f>
        <v>0</v>
      </c>
      <c r="L33" s="467">
        <f>L32</f>
        <v>0.09</v>
      </c>
      <c r="M33" s="467">
        <f>F14</f>
        <v>0.844</v>
      </c>
      <c r="N33" s="468">
        <f>K33*L33*M33</f>
        <v>0</v>
      </c>
      <c r="O33" s="470">
        <f>N33</f>
        <v>0</v>
      </c>
      <c r="P33" s="482">
        <v>5</v>
      </c>
      <c r="Q33" s="484">
        <f>P33*K33</f>
        <v>0</v>
      </c>
      <c r="S33" s="130"/>
      <c r="T33" s="130"/>
    </row>
    <row r="34" spans="1:20" ht="15.75">
      <c r="A34" s="393">
        <v>2</v>
      </c>
      <c r="B34" s="426" t="s">
        <v>249</v>
      </c>
      <c r="C34" s="390"/>
      <c r="D34" s="390"/>
      <c r="I34" s="425"/>
      <c r="J34" s="425"/>
      <c r="K34" s="425"/>
      <c r="L34" s="467"/>
      <c r="M34" s="467"/>
      <c r="N34" s="468"/>
      <c r="O34" s="470"/>
      <c r="P34" s="482"/>
      <c r="Q34" s="484"/>
      <c r="S34" s="130"/>
      <c r="T34" s="130"/>
    </row>
    <row r="35" spans="1:20" ht="15.75">
      <c r="A35" s="393"/>
      <c r="B35" s="426"/>
      <c r="C35" s="390" t="s">
        <v>494</v>
      </c>
      <c r="D35" s="390"/>
      <c r="I35" s="425">
        <f>'CUARTEL GENERAL'!E22+'CUARTEL GENERAL'!E23+'CUARTEL GENERAL'!K75</f>
        <v>0</v>
      </c>
      <c r="J35" s="425">
        <v>1</v>
      </c>
      <c r="K35" s="425">
        <f>J35*(I35)</f>
        <v>0</v>
      </c>
      <c r="L35" s="467">
        <f>I14</f>
        <v>0.09</v>
      </c>
      <c r="M35" s="467">
        <f>C22</f>
        <v>0.16666666666666666</v>
      </c>
      <c r="N35" s="468">
        <f>K35*L35*M35</f>
        <v>0</v>
      </c>
      <c r="O35" s="470">
        <f>N35</f>
        <v>0</v>
      </c>
      <c r="P35" s="482">
        <v>5</v>
      </c>
      <c r="Q35" s="484">
        <f>P35*K35</f>
        <v>0</v>
      </c>
      <c r="S35" s="130"/>
      <c r="T35" s="130"/>
    </row>
    <row r="36" spans="1:20" ht="15.75">
      <c r="A36" s="393"/>
      <c r="B36" s="426"/>
      <c r="C36" s="390"/>
      <c r="D36" s="390"/>
      <c r="I36" s="425"/>
      <c r="J36" s="425"/>
      <c r="K36" s="425"/>
      <c r="L36" s="467"/>
      <c r="M36" s="467"/>
      <c r="N36" s="468"/>
      <c r="O36" s="470"/>
      <c r="P36" s="482"/>
      <c r="Q36" s="484"/>
      <c r="S36" s="130"/>
      <c r="T36" s="130"/>
    </row>
    <row r="37" spans="1:20" ht="15.75">
      <c r="A37" s="393">
        <v>3</v>
      </c>
      <c r="B37" s="426" t="s">
        <v>250</v>
      </c>
      <c r="C37" s="390"/>
      <c r="D37" s="390"/>
      <c r="I37" s="425"/>
      <c r="J37" s="425"/>
      <c r="K37" s="425"/>
      <c r="L37" s="467"/>
      <c r="M37" s="467"/>
      <c r="N37" s="468"/>
      <c r="O37" s="470"/>
      <c r="P37" s="482"/>
      <c r="Q37" s="484"/>
      <c r="S37" s="130"/>
      <c r="T37" s="130"/>
    </row>
    <row r="38" spans="1:20" ht="15.75">
      <c r="A38" s="393"/>
      <c r="B38" s="426"/>
      <c r="C38" s="390" t="s">
        <v>500</v>
      </c>
      <c r="D38" s="390"/>
      <c r="I38" s="425">
        <f>'CUARTEL GENERAL'!E12</f>
        <v>0</v>
      </c>
      <c r="J38" s="425">
        <f>2+'CUARTEL GENERAL'!E13</f>
        <v>2</v>
      </c>
      <c r="K38" s="425">
        <f>J38*(I38)</f>
        <v>0</v>
      </c>
      <c r="L38" s="467">
        <f>I16</f>
        <v>0</v>
      </c>
      <c r="M38" s="467">
        <f>C14</f>
        <v>0.613</v>
      </c>
      <c r="N38" s="468">
        <f>K38*L38*M38</f>
        <v>0</v>
      </c>
      <c r="O38" s="470">
        <f>N38</f>
        <v>0</v>
      </c>
      <c r="P38" s="482">
        <v>5</v>
      </c>
      <c r="Q38" s="484">
        <f>P38*K38</f>
        <v>0</v>
      </c>
      <c r="S38" s="130"/>
      <c r="T38" s="130"/>
    </row>
    <row r="39" spans="1:20" ht="15.75">
      <c r="A39" s="393"/>
      <c r="B39" s="426"/>
      <c r="C39" s="390" t="s">
        <v>501</v>
      </c>
      <c r="D39" s="390"/>
      <c r="I39" s="425"/>
      <c r="J39" s="425">
        <v>1</v>
      </c>
      <c r="K39" s="425">
        <f>J39*(I38)</f>
        <v>0</v>
      </c>
      <c r="L39" s="467">
        <f>L38</f>
        <v>0</v>
      </c>
      <c r="M39" s="467">
        <f>F14</f>
        <v>0.844</v>
      </c>
      <c r="N39" s="468">
        <f>K39*L39*M39</f>
        <v>0</v>
      </c>
      <c r="O39" s="470"/>
      <c r="P39" s="482"/>
      <c r="Q39" s="484"/>
      <c r="S39" s="130"/>
      <c r="T39" s="130"/>
    </row>
    <row r="40" spans="1:20" ht="15.75">
      <c r="A40" s="393"/>
      <c r="B40" s="426"/>
      <c r="C40" s="390" t="s">
        <v>490</v>
      </c>
      <c r="D40" s="390"/>
      <c r="I40" s="425">
        <f>'CUARTEL GENERAL'!E11</f>
        <v>0</v>
      </c>
      <c r="J40" s="425">
        <f>4+'CUARTEL GENERAL'!E13</f>
        <v>4</v>
      </c>
      <c r="K40" s="425">
        <f>J40*(I40)</f>
        <v>0</v>
      </c>
      <c r="L40" s="467">
        <f>J16</f>
        <v>0</v>
      </c>
      <c r="M40" s="467">
        <f>C14</f>
        <v>0.613</v>
      </c>
      <c r="N40" s="468">
        <f>K40*L40*M40</f>
        <v>0</v>
      </c>
      <c r="O40" s="470">
        <f>N40</f>
        <v>0</v>
      </c>
      <c r="P40" s="482">
        <v>5</v>
      </c>
      <c r="Q40" s="484">
        <f>P40*K40</f>
        <v>0</v>
      </c>
      <c r="S40" s="130"/>
      <c r="T40" s="130"/>
    </row>
    <row r="41" spans="1:20" ht="15.75">
      <c r="A41" s="393"/>
      <c r="B41" s="426"/>
      <c r="C41" s="390" t="s">
        <v>169</v>
      </c>
      <c r="D41" s="390"/>
      <c r="I41" s="425">
        <f>'CUARTEL GENERAL'!E10</f>
        <v>0</v>
      </c>
      <c r="J41" s="425">
        <f>3+'CUARTEL GENERAL'!E13</f>
        <v>3</v>
      </c>
      <c r="K41" s="425">
        <f>J41*(I41)</f>
        <v>0</v>
      </c>
      <c r="L41" s="467">
        <f>I12</f>
        <v>0.83</v>
      </c>
      <c r="M41" s="467">
        <f>C14</f>
        <v>0.613</v>
      </c>
      <c r="N41" s="468">
        <f>K41*L41*M41</f>
        <v>0</v>
      </c>
      <c r="O41" s="470">
        <f>N41</f>
        <v>0</v>
      </c>
      <c r="P41" s="482">
        <v>1</v>
      </c>
      <c r="Q41" s="484">
        <f>P41*K41</f>
        <v>0</v>
      </c>
      <c r="S41" s="130"/>
      <c r="T41" s="130"/>
    </row>
    <row r="42" spans="1:20" ht="15.75">
      <c r="A42" s="393">
        <v>4</v>
      </c>
      <c r="B42" s="426" t="s">
        <v>253</v>
      </c>
      <c r="C42" s="390"/>
      <c r="D42" s="390"/>
      <c r="I42" s="425"/>
      <c r="J42" s="425"/>
      <c r="K42" s="425"/>
      <c r="L42" s="467"/>
      <c r="M42" s="467"/>
      <c r="N42" s="468"/>
      <c r="O42" s="470"/>
      <c r="P42" s="482"/>
      <c r="Q42" s="484"/>
      <c r="S42" s="130"/>
      <c r="T42" s="130"/>
    </row>
    <row r="43" spans="1:20" ht="15.75">
      <c r="A43" s="393"/>
      <c r="B43" s="426"/>
      <c r="C43" s="390" t="s">
        <v>500</v>
      </c>
      <c r="D43" s="390"/>
      <c r="I43" s="425">
        <f>'CUARTEL GENERAL'!E17</f>
        <v>0</v>
      </c>
      <c r="J43" s="425">
        <v>1</v>
      </c>
      <c r="K43" s="425">
        <f>J43*(I43)</f>
        <v>0</v>
      </c>
      <c r="L43" s="467">
        <f>I14</f>
        <v>0.09</v>
      </c>
      <c r="M43" s="467">
        <f>C22</f>
        <v>0.16666666666666666</v>
      </c>
      <c r="N43" s="468">
        <f>K43*L43*M43</f>
        <v>0</v>
      </c>
      <c r="O43" s="470">
        <f>N43</f>
        <v>0</v>
      </c>
      <c r="P43" s="482">
        <v>5</v>
      </c>
      <c r="Q43" s="484">
        <f>P43*K43</f>
        <v>0</v>
      </c>
      <c r="S43" s="130"/>
      <c r="T43" s="130"/>
    </row>
    <row r="44" spans="1:20" ht="15.75">
      <c r="A44" s="393"/>
      <c r="B44" s="426"/>
      <c r="C44" s="390" t="s">
        <v>501</v>
      </c>
      <c r="D44" s="390"/>
      <c r="I44" s="425"/>
      <c r="J44" s="425"/>
      <c r="K44" s="425"/>
      <c r="L44" s="467"/>
      <c r="M44" s="467"/>
      <c r="N44" s="468"/>
      <c r="O44" s="470"/>
      <c r="P44" s="482">
        <v>5</v>
      </c>
      <c r="Q44" s="484">
        <f>P44*K44</f>
        <v>0</v>
      </c>
      <c r="S44" s="130"/>
      <c r="T44" s="130"/>
    </row>
    <row r="45" spans="1:20" ht="15.75">
      <c r="A45" s="393">
        <v>5</v>
      </c>
      <c r="B45" s="426" t="s">
        <v>257</v>
      </c>
      <c r="C45" s="390"/>
      <c r="D45" s="390"/>
      <c r="I45" s="425"/>
      <c r="J45" s="425"/>
      <c r="K45" s="425"/>
      <c r="L45" s="467"/>
      <c r="M45" s="467"/>
      <c r="N45" s="468"/>
      <c r="O45" s="469"/>
      <c r="P45" s="482"/>
      <c r="Q45" s="484"/>
      <c r="S45" s="130"/>
      <c r="T45" s="130"/>
    </row>
    <row r="46" spans="1:20" ht="15.75">
      <c r="A46" s="393"/>
      <c r="B46" s="426"/>
      <c r="C46" s="390" t="s">
        <v>265</v>
      </c>
      <c r="D46" s="390"/>
      <c r="I46" s="425">
        <f>'CUARTEL GENERAL'!K27</f>
        <v>0</v>
      </c>
      <c r="J46" s="425">
        <v>1</v>
      </c>
      <c r="K46" s="425">
        <f aca="true" t="shared" si="0" ref="K46:K57">J46*(I46)</f>
        <v>0</v>
      </c>
      <c r="L46" s="467">
        <f>I14</f>
        <v>0.09</v>
      </c>
      <c r="M46" s="467">
        <f>$C$22</f>
        <v>0.16666666666666666</v>
      </c>
      <c r="N46" s="468">
        <f aca="true" t="shared" si="1" ref="N46:N57">K46*L46*M46</f>
        <v>0</v>
      </c>
      <c r="O46" s="470"/>
      <c r="P46" s="482">
        <v>5</v>
      </c>
      <c r="Q46" s="484">
        <f aca="true" t="shared" si="2" ref="Q46:Q57">P46*K46</f>
        <v>0</v>
      </c>
      <c r="S46" s="130"/>
      <c r="T46" s="130"/>
    </row>
    <row r="47" spans="1:20" ht="15.75">
      <c r="A47" s="393"/>
      <c r="B47" s="426"/>
      <c r="C47" s="390" t="s">
        <v>492</v>
      </c>
      <c r="D47" s="390"/>
      <c r="I47" s="425">
        <f>'CUARTEL GENERAL'!K29+'CUARTEL GENERAL'!K73+'CUARTEL GENERAL'!K74+'CUARTEL GENERAL'!L75</f>
        <v>0</v>
      </c>
      <c r="J47" s="425">
        <v>1</v>
      </c>
      <c r="K47" s="425">
        <f t="shared" si="0"/>
        <v>0</v>
      </c>
      <c r="L47" s="467">
        <f>L46</f>
        <v>0.09</v>
      </c>
      <c r="M47" s="467">
        <f>$C$22</f>
        <v>0.16666666666666666</v>
      </c>
      <c r="N47" s="468">
        <f t="shared" si="1"/>
        <v>0</v>
      </c>
      <c r="O47" s="470">
        <f aca="true" t="shared" si="3" ref="O47:O57">N47</f>
        <v>0</v>
      </c>
      <c r="P47" s="482">
        <v>5</v>
      </c>
      <c r="Q47" s="484">
        <f t="shared" si="2"/>
        <v>0</v>
      </c>
      <c r="S47" s="130"/>
      <c r="T47" s="130"/>
    </row>
    <row r="48" spans="1:20" ht="15.75">
      <c r="A48" s="393"/>
      <c r="B48" s="426"/>
      <c r="C48" s="390" t="s">
        <v>504</v>
      </c>
      <c r="D48" s="390"/>
      <c r="I48" s="425">
        <f>'CUARTEL GENERAL'!K31+'CUARTEL GENERAL'!K32</f>
        <v>0</v>
      </c>
      <c r="J48" s="425">
        <v>3</v>
      </c>
      <c r="K48" s="425">
        <f t="shared" si="0"/>
        <v>0</v>
      </c>
      <c r="L48" s="467">
        <f>L41</f>
        <v>0.83</v>
      </c>
      <c r="M48" s="467">
        <f>C14</f>
        <v>0.613</v>
      </c>
      <c r="N48" s="468">
        <f t="shared" si="1"/>
        <v>0</v>
      </c>
      <c r="O48" s="470">
        <f t="shared" si="3"/>
        <v>0</v>
      </c>
      <c r="P48" s="482">
        <v>1</v>
      </c>
      <c r="Q48" s="484">
        <f t="shared" si="2"/>
        <v>0</v>
      </c>
      <c r="S48" s="130"/>
      <c r="T48" s="130"/>
    </row>
    <row r="49" spans="1:20" ht="15.75">
      <c r="A49" s="393"/>
      <c r="B49" s="426"/>
      <c r="C49" s="390" t="s">
        <v>491</v>
      </c>
      <c r="D49" s="390"/>
      <c r="I49" s="425">
        <f>'CUARTEL GENERAL'!K33</f>
        <v>0</v>
      </c>
      <c r="J49" s="425">
        <v>1</v>
      </c>
      <c r="K49" s="425">
        <f t="shared" si="0"/>
        <v>0</v>
      </c>
      <c r="L49" s="467">
        <f>I14</f>
        <v>0.09</v>
      </c>
      <c r="M49" s="467">
        <f>$C$22</f>
        <v>0.16666666666666666</v>
      </c>
      <c r="N49" s="468">
        <f t="shared" si="1"/>
        <v>0</v>
      </c>
      <c r="O49" s="470">
        <f t="shared" si="3"/>
        <v>0</v>
      </c>
      <c r="P49" s="482">
        <v>5</v>
      </c>
      <c r="Q49" s="484">
        <f t="shared" si="2"/>
        <v>0</v>
      </c>
      <c r="S49" s="130"/>
      <c r="T49" s="130"/>
    </row>
    <row r="50" spans="1:20" ht="15.75">
      <c r="A50" s="393"/>
      <c r="B50" s="426"/>
      <c r="C50" s="390" t="s">
        <v>490</v>
      </c>
      <c r="D50" s="390"/>
      <c r="I50" s="425">
        <f>'CUARTEL GENERAL'!K35</f>
        <v>0</v>
      </c>
      <c r="J50" s="425">
        <v>1</v>
      </c>
      <c r="K50" s="425">
        <f t="shared" si="0"/>
        <v>0</v>
      </c>
      <c r="L50" s="467">
        <f>I14</f>
        <v>0.09</v>
      </c>
      <c r="M50" s="467">
        <f>$C$22</f>
        <v>0.16666666666666666</v>
      </c>
      <c r="N50" s="468">
        <f t="shared" si="1"/>
        <v>0</v>
      </c>
      <c r="O50" s="470">
        <f t="shared" si="3"/>
        <v>0</v>
      </c>
      <c r="P50" s="482">
        <v>5</v>
      </c>
      <c r="Q50" s="484">
        <f t="shared" si="2"/>
        <v>0</v>
      </c>
      <c r="S50" s="130"/>
      <c r="T50" s="130"/>
    </row>
    <row r="51" spans="1:20" ht="15.75">
      <c r="A51" s="393"/>
      <c r="B51" s="426"/>
      <c r="C51" s="390" t="s">
        <v>169</v>
      </c>
      <c r="D51" s="390"/>
      <c r="I51" s="425">
        <f>'CUARTEL GENERAL'!K37+'CUARTEL GENERAL'!K38</f>
        <v>0</v>
      </c>
      <c r="J51" s="425">
        <v>3</v>
      </c>
      <c r="K51" s="425">
        <f t="shared" si="0"/>
        <v>0</v>
      </c>
      <c r="L51" s="467">
        <f>L41</f>
        <v>0.83</v>
      </c>
      <c r="M51" s="467">
        <f>$C$14</f>
        <v>0.613</v>
      </c>
      <c r="N51" s="468">
        <f t="shared" si="1"/>
        <v>0</v>
      </c>
      <c r="O51" s="470">
        <f t="shared" si="3"/>
        <v>0</v>
      </c>
      <c r="P51" s="482">
        <v>1</v>
      </c>
      <c r="Q51" s="484">
        <f t="shared" si="2"/>
        <v>0</v>
      </c>
      <c r="S51" s="130"/>
      <c r="T51" s="130"/>
    </row>
    <row r="52" spans="1:20" ht="15.75">
      <c r="A52" s="393"/>
      <c r="B52" s="426"/>
      <c r="C52" s="111" t="str">
        <f aca="true" t="shared" si="4" ref="C52:C57">C46</f>
        <v>Espada sierra</v>
      </c>
      <c r="D52" s="390"/>
      <c r="I52" s="425">
        <f>'CUARTEL GENERAL'!L27</f>
        <v>0</v>
      </c>
      <c r="J52" s="425">
        <v>1</v>
      </c>
      <c r="K52" s="425">
        <f t="shared" si="0"/>
        <v>0</v>
      </c>
      <c r="L52" s="467">
        <f aca="true" t="shared" si="5" ref="L52:M57">L46</f>
        <v>0.09</v>
      </c>
      <c r="M52" s="467">
        <f t="shared" si="5"/>
        <v>0.16666666666666666</v>
      </c>
      <c r="N52" s="468">
        <f t="shared" si="1"/>
        <v>0</v>
      </c>
      <c r="O52" s="470">
        <f t="shared" si="3"/>
        <v>0</v>
      </c>
      <c r="P52" s="482">
        <f aca="true" t="shared" si="6" ref="P52:P57">P46</f>
        <v>5</v>
      </c>
      <c r="Q52" s="484">
        <f t="shared" si="2"/>
        <v>0</v>
      </c>
      <c r="S52" s="130"/>
      <c r="T52" s="130"/>
    </row>
    <row r="53" spans="1:20" ht="15.75">
      <c r="A53" s="393"/>
      <c r="B53" s="426"/>
      <c r="C53" s="111" t="str">
        <f t="shared" si="4"/>
        <v>Arma de energía y pistola o arma cuerpo a cuerpo</v>
      </c>
      <c r="D53" s="390"/>
      <c r="I53" s="425">
        <f>'CUARTEL GENERAL'!L29+'CUARTEL GENERAL'!L73+'CUARTEL GENERAL'!L74</f>
        <v>0</v>
      </c>
      <c r="J53" s="425">
        <v>1</v>
      </c>
      <c r="K53" s="425">
        <f t="shared" si="0"/>
        <v>0</v>
      </c>
      <c r="L53" s="467">
        <f t="shared" si="5"/>
        <v>0.09</v>
      </c>
      <c r="M53" s="467">
        <f t="shared" si="5"/>
        <v>0.16666666666666666</v>
      </c>
      <c r="N53" s="468">
        <f t="shared" si="1"/>
        <v>0</v>
      </c>
      <c r="O53" s="470">
        <f t="shared" si="3"/>
        <v>0</v>
      </c>
      <c r="P53" s="482">
        <f t="shared" si="6"/>
        <v>5</v>
      </c>
      <c r="Q53" s="484">
        <f t="shared" si="2"/>
        <v>0</v>
      </c>
      <c r="S53" s="130"/>
      <c r="T53" s="130"/>
    </row>
    <row r="54" spans="1:20" ht="15.75">
      <c r="A54" s="393"/>
      <c r="B54" s="426"/>
      <c r="C54" s="111" t="str">
        <f t="shared" si="4"/>
        <v>Puño de combate </v>
      </c>
      <c r="D54" s="390"/>
      <c r="I54" s="425">
        <f>'CUARTEL GENERAL'!L31+'CUARTEL GENERAL'!L32</f>
        <v>0</v>
      </c>
      <c r="J54" s="425">
        <v>4</v>
      </c>
      <c r="K54" s="425">
        <f t="shared" si="0"/>
        <v>0</v>
      </c>
      <c r="L54" s="467">
        <f t="shared" si="5"/>
        <v>0.83</v>
      </c>
      <c r="M54" s="467">
        <f t="shared" si="5"/>
        <v>0.613</v>
      </c>
      <c r="N54" s="468">
        <f t="shared" si="1"/>
        <v>0</v>
      </c>
      <c r="O54" s="470">
        <f t="shared" si="3"/>
        <v>0</v>
      </c>
      <c r="P54" s="482">
        <f t="shared" si="6"/>
        <v>1</v>
      </c>
      <c r="Q54" s="484">
        <f t="shared" si="2"/>
        <v>0</v>
      </c>
      <c r="S54" s="130"/>
      <c r="T54" s="130"/>
    </row>
    <row r="55" spans="1:20" ht="15.75">
      <c r="A55" s="393"/>
      <c r="B55" s="426"/>
      <c r="C55" s="111" t="str">
        <f t="shared" si="4"/>
        <v>Garra relámpago</v>
      </c>
      <c r="D55" s="390"/>
      <c r="I55" s="425">
        <f>'CUARTEL GENERAL'!L33</f>
        <v>0</v>
      </c>
      <c r="J55" s="425">
        <v>1</v>
      </c>
      <c r="K55" s="425">
        <f t="shared" si="0"/>
        <v>0</v>
      </c>
      <c r="L55" s="467">
        <f t="shared" si="5"/>
        <v>0.09</v>
      </c>
      <c r="M55" s="467">
        <f t="shared" si="5"/>
        <v>0.16666666666666666</v>
      </c>
      <c r="N55" s="468">
        <f t="shared" si="1"/>
        <v>0</v>
      </c>
      <c r="O55" s="470">
        <f t="shared" si="3"/>
        <v>0</v>
      </c>
      <c r="P55" s="482">
        <f t="shared" si="6"/>
        <v>5</v>
      </c>
      <c r="Q55" s="484">
        <f t="shared" si="2"/>
        <v>0</v>
      </c>
      <c r="S55" s="130"/>
      <c r="T55" s="130"/>
    </row>
    <row r="56" spans="1:20" ht="15.75">
      <c r="A56" s="393"/>
      <c r="B56" s="426"/>
      <c r="C56" s="111" t="str">
        <f t="shared" si="4"/>
        <v>Garras relámpago</v>
      </c>
      <c r="D56" s="390"/>
      <c r="I56" s="425">
        <f>'CUARTEL GENERAL'!L35</f>
        <v>0</v>
      </c>
      <c r="J56" s="425">
        <v>1</v>
      </c>
      <c r="K56" s="425">
        <f t="shared" si="0"/>
        <v>0</v>
      </c>
      <c r="L56" s="467">
        <f t="shared" si="5"/>
        <v>0.09</v>
      </c>
      <c r="M56" s="467">
        <f t="shared" si="5"/>
        <v>0.16666666666666666</v>
      </c>
      <c r="N56" s="468">
        <f t="shared" si="1"/>
        <v>0</v>
      </c>
      <c r="O56" s="470">
        <f t="shared" si="3"/>
        <v>0</v>
      </c>
      <c r="P56" s="482">
        <f t="shared" si="6"/>
        <v>5</v>
      </c>
      <c r="Q56" s="484">
        <f t="shared" si="2"/>
        <v>0</v>
      </c>
      <c r="S56" s="130"/>
      <c r="T56" s="130"/>
    </row>
    <row r="57" spans="1:20" ht="15.75">
      <c r="A57" s="393"/>
      <c r="B57" s="426"/>
      <c r="C57" s="111" t="str">
        <f t="shared" si="4"/>
        <v>Martillo del trueno</v>
      </c>
      <c r="D57" s="390"/>
      <c r="I57" s="425">
        <f>'CUARTEL GENERAL'!L37+'CUARTEL GENERAL'!L38</f>
        <v>0</v>
      </c>
      <c r="J57" s="425">
        <v>4</v>
      </c>
      <c r="K57" s="425">
        <f t="shared" si="0"/>
        <v>0</v>
      </c>
      <c r="L57" s="467">
        <f t="shared" si="5"/>
        <v>0.83</v>
      </c>
      <c r="M57" s="467">
        <f t="shared" si="5"/>
        <v>0.613</v>
      </c>
      <c r="N57" s="468">
        <f t="shared" si="1"/>
        <v>0</v>
      </c>
      <c r="O57" s="470">
        <f t="shared" si="3"/>
        <v>0</v>
      </c>
      <c r="P57" s="482">
        <f t="shared" si="6"/>
        <v>1</v>
      </c>
      <c r="Q57" s="484">
        <f t="shared" si="2"/>
        <v>0</v>
      </c>
      <c r="S57" s="130"/>
      <c r="T57" s="130"/>
    </row>
    <row r="58" spans="1:20" ht="15.75">
      <c r="A58" s="393">
        <v>6</v>
      </c>
      <c r="B58" s="426" t="s">
        <v>513</v>
      </c>
      <c r="C58" s="390"/>
      <c r="D58" s="390"/>
      <c r="I58" s="425"/>
      <c r="J58" s="425"/>
      <c r="K58" s="425"/>
      <c r="L58" s="467"/>
      <c r="M58" s="467"/>
      <c r="N58" s="468"/>
      <c r="O58" s="470"/>
      <c r="P58" s="482"/>
      <c r="Q58" s="484"/>
      <c r="S58" s="130"/>
      <c r="T58" s="130"/>
    </row>
    <row r="59" spans="1:20" ht="15.75">
      <c r="A59" s="393"/>
      <c r="B59" s="426"/>
      <c r="C59" s="390" t="s">
        <v>502</v>
      </c>
      <c r="D59" s="390"/>
      <c r="I59" s="425">
        <f>'CUARTEL GENERAL'!K40+'CUARTEL GENERAL'!K57</f>
        <v>0</v>
      </c>
      <c r="J59" s="425">
        <v>1</v>
      </c>
      <c r="K59" s="425">
        <f>J59*(I59)</f>
        <v>0</v>
      </c>
      <c r="L59" s="467">
        <f>L35</f>
        <v>0.09</v>
      </c>
      <c r="M59" s="467">
        <f>M35</f>
        <v>0.16666666666666666</v>
      </c>
      <c r="N59" s="468">
        <f>K59*L59*M59</f>
        <v>0</v>
      </c>
      <c r="O59" s="470">
        <f>N59</f>
        <v>0</v>
      </c>
      <c r="P59" s="482">
        <v>5</v>
      </c>
      <c r="Q59" s="484">
        <f>P59*K59</f>
        <v>0</v>
      </c>
      <c r="S59" s="130"/>
      <c r="T59" s="130"/>
    </row>
    <row r="60" spans="1:20" ht="15.75">
      <c r="A60" s="393"/>
      <c r="B60" s="426"/>
      <c r="C60" s="390" t="s">
        <v>503</v>
      </c>
      <c r="D60" s="390"/>
      <c r="I60" s="425">
        <f>'CUARTEL GENERAL'!K42+'CUARTEL GENERAL'!K43+'CUARTEL GENERAL'!K59+'CUARTEL GENERAL'!K60</f>
        <v>0</v>
      </c>
      <c r="J60" s="425">
        <f>3+'CUARTEL GENERAL'!E45</f>
        <v>3</v>
      </c>
      <c r="K60" s="425">
        <f>J60*(I60)</f>
        <v>0</v>
      </c>
      <c r="L60" s="467">
        <f>L41</f>
        <v>0.83</v>
      </c>
      <c r="M60" s="467">
        <f>C14</f>
        <v>0.613</v>
      </c>
      <c r="N60" s="468">
        <f>K60*L60*M60</f>
        <v>0</v>
      </c>
      <c r="O60" s="470">
        <f>N60</f>
        <v>0</v>
      </c>
      <c r="P60" s="482">
        <v>1</v>
      </c>
      <c r="Q60" s="484">
        <f>P60*K60</f>
        <v>0</v>
      </c>
      <c r="S60" s="130"/>
      <c r="T60" s="130"/>
    </row>
    <row r="61" spans="1:20" ht="15.75">
      <c r="A61" s="393"/>
      <c r="B61" s="426"/>
      <c r="C61" s="111" t="s">
        <v>502</v>
      </c>
      <c r="D61" s="390"/>
      <c r="I61" s="425">
        <f>'CUARTEL GENERAL'!L40+'CUARTEL GENERAL'!L57</f>
        <v>0</v>
      </c>
      <c r="J61" s="425">
        <v>1</v>
      </c>
      <c r="K61" s="425">
        <f>J61*(I61)</f>
        <v>0</v>
      </c>
      <c r="L61" s="467">
        <f>L59</f>
        <v>0.09</v>
      </c>
      <c r="M61" s="467">
        <f>M59</f>
        <v>0.16666666666666666</v>
      </c>
      <c r="N61" s="468">
        <f>K61*L61*M61</f>
        <v>0</v>
      </c>
      <c r="O61" s="470">
        <f>N61</f>
        <v>0</v>
      </c>
      <c r="P61" s="482">
        <v>5</v>
      </c>
      <c r="Q61" s="484">
        <f>P61*K61</f>
        <v>0</v>
      </c>
      <c r="S61" s="130"/>
      <c r="T61" s="130"/>
    </row>
    <row r="62" spans="1:20" ht="15.75">
      <c r="A62" s="393"/>
      <c r="B62" s="426"/>
      <c r="C62" s="111" t="s">
        <v>503</v>
      </c>
      <c r="D62" s="390"/>
      <c r="I62" s="425">
        <f>'CUARTEL GENERAL'!L42+'CUARTEL GENERAL'!L43+'CUARTEL GENERAL'!L59+'CUARTEL GENERAL'!L60</f>
        <v>0</v>
      </c>
      <c r="J62" s="425">
        <v>4</v>
      </c>
      <c r="K62" s="425">
        <f>J62*(I62)</f>
        <v>0</v>
      </c>
      <c r="L62" s="467">
        <f>L60</f>
        <v>0.83</v>
      </c>
      <c r="M62" s="467">
        <f>M60</f>
        <v>0.613</v>
      </c>
      <c r="N62" s="468">
        <f>K62*L62*M62</f>
        <v>0</v>
      </c>
      <c r="O62" s="470">
        <f>N62</f>
        <v>0</v>
      </c>
      <c r="P62" s="482">
        <v>1</v>
      </c>
      <c r="Q62" s="484">
        <f>P62*K62</f>
        <v>0</v>
      </c>
      <c r="S62" s="130"/>
      <c r="T62" s="130"/>
    </row>
    <row r="63" spans="1:20" ht="15.75">
      <c r="A63" s="393">
        <v>7</v>
      </c>
      <c r="B63" s="426" t="s">
        <v>517</v>
      </c>
      <c r="C63" s="111"/>
      <c r="D63" s="390"/>
      <c r="I63" s="425"/>
      <c r="J63" s="425"/>
      <c r="K63" s="425"/>
      <c r="L63" s="467"/>
      <c r="M63" s="467"/>
      <c r="N63" s="468"/>
      <c r="O63" s="470"/>
      <c r="P63" s="482"/>
      <c r="Q63" s="484"/>
      <c r="S63" s="130"/>
      <c r="T63" s="130"/>
    </row>
    <row r="64" spans="1:20" ht="15.75">
      <c r="A64" s="393"/>
      <c r="B64" s="426"/>
      <c r="C64" s="111" t="s">
        <v>494</v>
      </c>
      <c r="D64" s="390"/>
      <c r="I64" s="425">
        <f>'CUARTEL GENERAL'!K75</f>
        <v>0</v>
      </c>
      <c r="J64" s="425">
        <v>3</v>
      </c>
      <c r="K64" s="425">
        <f>J64*(I64)</f>
        <v>0</v>
      </c>
      <c r="L64" s="467">
        <f>L35</f>
        <v>0.09</v>
      </c>
      <c r="M64" s="467">
        <f>C14</f>
        <v>0.613</v>
      </c>
      <c r="N64" s="468">
        <f>K64*L64*M64</f>
        <v>0</v>
      </c>
      <c r="O64" s="470">
        <f>N64</f>
        <v>0</v>
      </c>
      <c r="P64" s="482">
        <v>5</v>
      </c>
      <c r="Q64" s="484">
        <f>P64*K64</f>
        <v>0</v>
      </c>
      <c r="S64" s="130"/>
      <c r="T64" s="130"/>
    </row>
    <row r="65" spans="1:20" ht="15.75">
      <c r="A65" s="393">
        <v>8</v>
      </c>
      <c r="B65" s="426" t="s">
        <v>527</v>
      </c>
      <c r="C65" s="111"/>
      <c r="D65" s="390"/>
      <c r="I65" s="425"/>
      <c r="J65" s="425"/>
      <c r="K65" s="425"/>
      <c r="L65" s="467"/>
      <c r="M65" s="467"/>
      <c r="N65" s="468"/>
      <c r="O65" s="470"/>
      <c r="P65" s="482"/>
      <c r="Q65" s="484"/>
      <c r="S65" s="130"/>
      <c r="T65" s="130"/>
    </row>
    <row r="66" spans="1:20" ht="15.75">
      <c r="A66" s="111"/>
      <c r="B66" s="426"/>
      <c r="C66" s="432" t="s">
        <v>300</v>
      </c>
      <c r="D66" s="390"/>
      <c r="I66" s="425">
        <f>'CUARTEL GENERAL'!K92</f>
        <v>0</v>
      </c>
      <c r="J66" s="425">
        <v>1</v>
      </c>
      <c r="K66" s="425">
        <f aca="true" t="shared" si="7" ref="K66:K75">J66*(I66)</f>
        <v>0</v>
      </c>
      <c r="L66" s="467">
        <f>$I$14</f>
        <v>0.09</v>
      </c>
      <c r="M66" s="467">
        <f>$C$22</f>
        <v>0.16666666666666666</v>
      </c>
      <c r="N66" s="468">
        <f aca="true" t="shared" si="8" ref="N66:N75">K66*L66*M66</f>
        <v>0</v>
      </c>
      <c r="O66" s="470"/>
      <c r="P66" s="482">
        <v>4</v>
      </c>
      <c r="Q66" s="484">
        <f aca="true" t="shared" si="9" ref="Q66:Q75">P66*K66</f>
        <v>0</v>
      </c>
      <c r="S66" s="130"/>
      <c r="T66" s="130"/>
    </row>
    <row r="67" spans="1:20" ht="15.75">
      <c r="A67" s="111"/>
      <c r="B67" s="426"/>
      <c r="C67" s="432" t="s">
        <v>528</v>
      </c>
      <c r="D67" s="390"/>
      <c r="I67" s="425">
        <f>'CUARTEL GENERAL'!K93</f>
        <v>0</v>
      </c>
      <c r="J67" s="425">
        <v>1</v>
      </c>
      <c r="K67" s="425">
        <f t="shared" si="7"/>
        <v>0</v>
      </c>
      <c r="L67" s="467">
        <f>$I$14</f>
        <v>0.09</v>
      </c>
      <c r="M67" s="467">
        <f>$C$22</f>
        <v>0.16666666666666666</v>
      </c>
      <c r="N67" s="468">
        <f t="shared" si="8"/>
        <v>0</v>
      </c>
      <c r="O67" s="470"/>
      <c r="P67" s="482">
        <v>4</v>
      </c>
      <c r="Q67" s="484">
        <f t="shared" si="9"/>
        <v>0</v>
      </c>
      <c r="S67" s="130"/>
      <c r="T67" s="130"/>
    </row>
    <row r="68" spans="1:20" ht="15.75">
      <c r="A68" s="111"/>
      <c r="B68" s="426"/>
      <c r="C68" s="432" t="s">
        <v>529</v>
      </c>
      <c r="D68" s="390"/>
      <c r="I68" s="425">
        <f>'CUARTEL GENERAL'!K96</f>
        <v>0</v>
      </c>
      <c r="J68" s="425">
        <v>1</v>
      </c>
      <c r="K68" s="425">
        <f t="shared" si="7"/>
        <v>0</v>
      </c>
      <c r="L68" s="467">
        <f>$I$14</f>
        <v>0.09</v>
      </c>
      <c r="M68" s="467">
        <f>$C$22</f>
        <v>0.16666666666666666</v>
      </c>
      <c r="N68" s="468">
        <f t="shared" si="8"/>
        <v>0</v>
      </c>
      <c r="O68" s="470">
        <f>N68</f>
        <v>0</v>
      </c>
      <c r="P68" s="482">
        <v>4</v>
      </c>
      <c r="Q68" s="484">
        <f t="shared" si="9"/>
        <v>0</v>
      </c>
      <c r="S68" s="130"/>
      <c r="T68" s="130"/>
    </row>
    <row r="69" spans="1:20" ht="15.75">
      <c r="A69" s="111"/>
      <c r="B69" s="426"/>
      <c r="C69" s="432" t="s">
        <v>492</v>
      </c>
      <c r="D69" s="390"/>
      <c r="I69" s="425">
        <f>'CUARTEL GENERAL'!K97</f>
        <v>0</v>
      </c>
      <c r="J69" s="425">
        <v>1</v>
      </c>
      <c r="K69" s="425">
        <f t="shared" si="7"/>
        <v>0</v>
      </c>
      <c r="L69" s="467">
        <f>$I$14</f>
        <v>0.09</v>
      </c>
      <c r="M69" s="467">
        <f>$C$22</f>
        <v>0.16666666666666666</v>
      </c>
      <c r="N69" s="468">
        <f t="shared" si="8"/>
        <v>0</v>
      </c>
      <c r="O69" s="470">
        <f>N69</f>
        <v>0</v>
      </c>
      <c r="P69" s="482">
        <v>4</v>
      </c>
      <c r="Q69" s="484">
        <f t="shared" si="9"/>
        <v>0</v>
      </c>
      <c r="S69" s="130"/>
      <c r="T69" s="130"/>
    </row>
    <row r="70" spans="1:20" ht="15.75">
      <c r="A70" s="111"/>
      <c r="B70" s="426"/>
      <c r="C70" s="432" t="s">
        <v>504</v>
      </c>
      <c r="D70" s="390"/>
      <c r="I70" s="425">
        <f>'CUARTEL GENERAL'!K100+'CUARTEL GENERAL'!K101</f>
        <v>0</v>
      </c>
      <c r="J70" s="425">
        <v>2</v>
      </c>
      <c r="K70" s="425">
        <f t="shared" si="7"/>
        <v>0</v>
      </c>
      <c r="L70" s="467">
        <f>L41</f>
        <v>0.83</v>
      </c>
      <c r="M70" s="467">
        <f>$C$15</f>
        <v>0.546</v>
      </c>
      <c r="N70" s="468">
        <f t="shared" si="8"/>
        <v>0</v>
      </c>
      <c r="O70" s="470">
        <f>N70</f>
        <v>0</v>
      </c>
      <c r="P70" s="482">
        <v>1</v>
      </c>
      <c r="Q70" s="484">
        <f t="shared" si="9"/>
        <v>0</v>
      </c>
      <c r="S70" s="130"/>
      <c r="T70" s="130"/>
    </row>
    <row r="71" spans="1:20" ht="15.75">
      <c r="A71" s="111"/>
      <c r="B71" s="426"/>
      <c r="C71" s="111" t="s">
        <v>300</v>
      </c>
      <c r="D71" s="390"/>
      <c r="I71" s="425">
        <f>'CUARTEL GENERAL'!L92</f>
        <v>0</v>
      </c>
      <c r="J71" s="425">
        <v>1</v>
      </c>
      <c r="K71" s="425">
        <f t="shared" si="7"/>
        <v>0</v>
      </c>
      <c r="L71" s="467">
        <f aca="true" t="shared" si="10" ref="L71:M74">L66</f>
        <v>0.09</v>
      </c>
      <c r="M71" s="467">
        <f t="shared" si="10"/>
        <v>0.16666666666666666</v>
      </c>
      <c r="N71" s="468">
        <f t="shared" si="8"/>
        <v>0</v>
      </c>
      <c r="O71" s="470"/>
      <c r="P71" s="482">
        <v>4</v>
      </c>
      <c r="Q71" s="484">
        <f t="shared" si="9"/>
        <v>0</v>
      </c>
      <c r="S71" s="130"/>
      <c r="T71" s="130"/>
    </row>
    <row r="72" spans="1:20" ht="15.75">
      <c r="A72" s="111"/>
      <c r="B72" s="426"/>
      <c r="C72" s="111" t="s">
        <v>528</v>
      </c>
      <c r="D72" s="390"/>
      <c r="I72" s="425">
        <f>'CUARTEL GENERAL'!L93</f>
        <v>0</v>
      </c>
      <c r="J72" s="425">
        <v>1</v>
      </c>
      <c r="K72" s="425">
        <f t="shared" si="7"/>
        <v>0</v>
      </c>
      <c r="L72" s="467">
        <f t="shared" si="10"/>
        <v>0.09</v>
      </c>
      <c r="M72" s="467">
        <f t="shared" si="10"/>
        <v>0.16666666666666666</v>
      </c>
      <c r="N72" s="468">
        <f t="shared" si="8"/>
        <v>0</v>
      </c>
      <c r="O72" s="470"/>
      <c r="P72" s="482">
        <v>4</v>
      </c>
      <c r="Q72" s="484">
        <f t="shared" si="9"/>
        <v>0</v>
      </c>
      <c r="S72" s="130"/>
      <c r="T72" s="130"/>
    </row>
    <row r="73" spans="1:20" ht="15.75">
      <c r="A73" s="111"/>
      <c r="B73" s="426"/>
      <c r="C73" s="111" t="s">
        <v>529</v>
      </c>
      <c r="D73" s="390"/>
      <c r="I73" s="425">
        <f>'CUARTEL GENERAL'!L96</f>
        <v>0</v>
      </c>
      <c r="J73" s="425">
        <v>1</v>
      </c>
      <c r="K73" s="425">
        <f t="shared" si="7"/>
        <v>0</v>
      </c>
      <c r="L73" s="467">
        <f t="shared" si="10"/>
        <v>0.09</v>
      </c>
      <c r="M73" s="467">
        <f t="shared" si="10"/>
        <v>0.16666666666666666</v>
      </c>
      <c r="N73" s="468">
        <f t="shared" si="8"/>
        <v>0</v>
      </c>
      <c r="O73" s="470">
        <f>N73</f>
        <v>0</v>
      </c>
      <c r="P73" s="482">
        <v>4</v>
      </c>
      <c r="Q73" s="484">
        <f t="shared" si="9"/>
        <v>0</v>
      </c>
      <c r="S73" s="130"/>
      <c r="T73" s="130"/>
    </row>
    <row r="74" spans="1:20" ht="15.75">
      <c r="A74" s="111"/>
      <c r="B74" s="426"/>
      <c r="C74" s="111" t="s">
        <v>492</v>
      </c>
      <c r="D74" s="390"/>
      <c r="I74" s="425">
        <f>'CUARTEL GENERAL'!L97</f>
        <v>0</v>
      </c>
      <c r="J74" s="425">
        <v>1</v>
      </c>
      <c r="K74" s="425">
        <f t="shared" si="7"/>
        <v>0</v>
      </c>
      <c r="L74" s="467">
        <f t="shared" si="10"/>
        <v>0.09</v>
      </c>
      <c r="M74" s="467">
        <f t="shared" si="10"/>
        <v>0.16666666666666666</v>
      </c>
      <c r="N74" s="468">
        <f t="shared" si="8"/>
        <v>0</v>
      </c>
      <c r="O74" s="470">
        <f>N74</f>
        <v>0</v>
      </c>
      <c r="P74" s="482">
        <v>4</v>
      </c>
      <c r="Q74" s="484">
        <f t="shared" si="9"/>
        <v>0</v>
      </c>
      <c r="S74" s="130"/>
      <c r="T74" s="130"/>
    </row>
    <row r="75" spans="1:20" ht="15.75">
      <c r="A75" s="111"/>
      <c r="B75" s="426"/>
      <c r="C75" s="111" t="s">
        <v>504</v>
      </c>
      <c r="D75" s="390"/>
      <c r="I75" s="425">
        <f>'CUARTEL GENERAL'!L100+'CUARTEL GENERAL'!L101</f>
        <v>0</v>
      </c>
      <c r="J75" s="425">
        <v>3</v>
      </c>
      <c r="K75" s="425">
        <f t="shared" si="7"/>
        <v>0</v>
      </c>
      <c r="L75" s="467">
        <f>L70</f>
        <v>0.83</v>
      </c>
      <c r="M75" s="467">
        <f>$C$15</f>
        <v>0.546</v>
      </c>
      <c r="N75" s="468">
        <f t="shared" si="8"/>
        <v>0</v>
      </c>
      <c r="O75" s="470">
        <f>N75</f>
        <v>0</v>
      </c>
      <c r="P75" s="482">
        <v>1</v>
      </c>
      <c r="Q75" s="484">
        <f t="shared" si="9"/>
        <v>0</v>
      </c>
      <c r="S75" s="130"/>
      <c r="T75" s="130"/>
    </row>
    <row r="76" spans="2:20" ht="16.5" thickBot="1">
      <c r="B76" s="390"/>
      <c r="C76" s="426"/>
      <c r="D76" s="390"/>
      <c r="I76" s="425"/>
      <c r="J76" s="425"/>
      <c r="K76" s="425"/>
      <c r="L76" s="467"/>
      <c r="M76" s="467"/>
      <c r="N76" s="468"/>
      <c r="O76" s="469"/>
      <c r="P76" s="482"/>
      <c r="Q76" s="483"/>
      <c r="S76" s="130"/>
      <c r="T76" s="130"/>
    </row>
    <row r="77" spans="1:20" ht="13.5" thickBot="1">
      <c r="A77" s="389"/>
      <c r="B77" s="388" t="s">
        <v>13</v>
      </c>
      <c r="C77" s="398"/>
      <c r="D77" s="398"/>
      <c r="E77" s="398"/>
      <c r="F77" s="398"/>
      <c r="G77" s="398"/>
      <c r="H77" s="428"/>
      <c r="I77" s="381">
        <f>SUM(I78:I85)</f>
        <v>0</v>
      </c>
      <c r="J77" s="381"/>
      <c r="K77" s="381">
        <f>SUM(K78:K85)</f>
        <v>0</v>
      </c>
      <c r="L77" s="436"/>
      <c r="M77" s="436"/>
      <c r="N77" s="471">
        <f>SUM(N78:N85)</f>
        <v>0</v>
      </c>
      <c r="O77" s="471">
        <f>SUM(O78:O85)</f>
        <v>0</v>
      </c>
      <c r="P77" s="502"/>
      <c r="Q77" s="503">
        <f>SUM(Q78:Q85)</f>
        <v>0</v>
      </c>
      <c r="S77" s="130"/>
      <c r="T77" s="130"/>
    </row>
    <row r="78" spans="1:20" ht="15.75">
      <c r="A78" s="393">
        <v>1</v>
      </c>
      <c r="B78" s="424" t="s">
        <v>425</v>
      </c>
      <c r="C78" s="390"/>
      <c r="D78" s="390"/>
      <c r="I78" s="425"/>
      <c r="J78" s="425"/>
      <c r="K78" s="425"/>
      <c r="L78" s="467"/>
      <c r="M78" s="467"/>
      <c r="N78" s="468"/>
      <c r="O78" s="469"/>
      <c r="P78" s="482"/>
      <c r="Q78" s="483"/>
      <c r="S78" s="130"/>
      <c r="T78" s="130"/>
    </row>
    <row r="79" spans="1:20" ht="12.75">
      <c r="A79" s="393"/>
      <c r="B79" s="390"/>
      <c r="C79" s="390" t="s">
        <v>537</v>
      </c>
      <c r="D79" s="390"/>
      <c r="I79" s="425">
        <f>LINEA!K5</f>
        <v>0</v>
      </c>
      <c r="J79" s="425">
        <v>1</v>
      </c>
      <c r="K79" s="425">
        <f>J79*(I79)</f>
        <v>0</v>
      </c>
      <c r="L79" s="467">
        <f>L66</f>
        <v>0.09</v>
      </c>
      <c r="M79" s="467">
        <f>$C$22</f>
        <v>0.16666666666666666</v>
      </c>
      <c r="N79" s="468">
        <f>K79*L79*M79</f>
        <v>0</v>
      </c>
      <c r="O79" s="469"/>
      <c r="P79" s="482">
        <v>4</v>
      </c>
      <c r="Q79" s="483">
        <f>K79*P79</f>
        <v>0</v>
      </c>
      <c r="S79" s="130"/>
      <c r="T79" s="130"/>
    </row>
    <row r="80" spans="1:20" ht="12.75">
      <c r="A80" s="393"/>
      <c r="B80" s="390"/>
      <c r="C80" s="390" t="s">
        <v>536</v>
      </c>
      <c r="D80" s="390"/>
      <c r="I80" s="425">
        <f>LINEA!K6</f>
        <v>0</v>
      </c>
      <c r="J80" s="425">
        <v>1</v>
      </c>
      <c r="K80" s="425">
        <f>J80*(I80)</f>
        <v>0</v>
      </c>
      <c r="L80" s="467">
        <f>L67</f>
        <v>0.09</v>
      </c>
      <c r="M80" s="467">
        <f>$C$22</f>
        <v>0.16666666666666666</v>
      </c>
      <c r="N80" s="468">
        <f>K80*L80*M80</f>
        <v>0</v>
      </c>
      <c r="O80" s="469"/>
      <c r="P80" s="482">
        <v>4</v>
      </c>
      <c r="Q80" s="483">
        <f>K80*P80</f>
        <v>0</v>
      </c>
      <c r="S80" s="130"/>
      <c r="T80" s="130"/>
    </row>
    <row r="81" spans="1:20" ht="12.75">
      <c r="A81" s="393"/>
      <c r="B81" s="390"/>
      <c r="C81" s="368" t="s">
        <v>535</v>
      </c>
      <c r="D81" s="390"/>
      <c r="I81" s="425">
        <f>LINEA!K8</f>
        <v>0</v>
      </c>
      <c r="J81" s="425">
        <v>1</v>
      </c>
      <c r="K81" s="425">
        <f>J81*(I81)</f>
        <v>0</v>
      </c>
      <c r="L81" s="467">
        <f>L68</f>
        <v>0.09</v>
      </c>
      <c r="M81" s="467">
        <f>$C$22</f>
        <v>0.16666666666666666</v>
      </c>
      <c r="N81" s="468">
        <f>K81*L81*M81</f>
        <v>0</v>
      </c>
      <c r="O81" s="470"/>
      <c r="P81" s="482">
        <v>4</v>
      </c>
      <c r="Q81" s="483">
        <f>K81*P81</f>
        <v>0</v>
      </c>
      <c r="S81" s="130"/>
      <c r="T81" s="130"/>
    </row>
    <row r="82" spans="1:20" ht="12.75">
      <c r="A82" s="393"/>
      <c r="B82" s="390"/>
      <c r="C82" s="432" t="s">
        <v>492</v>
      </c>
      <c r="D82" s="390"/>
      <c r="I82" s="425">
        <f>LINEA!K10</f>
        <v>0</v>
      </c>
      <c r="J82" s="425">
        <v>1</v>
      </c>
      <c r="K82" s="425">
        <f>J82*(I82)</f>
        <v>0</v>
      </c>
      <c r="L82" s="467">
        <f>L69</f>
        <v>0.09</v>
      </c>
      <c r="M82" s="467">
        <f>$C$22</f>
        <v>0.16666666666666666</v>
      </c>
      <c r="N82" s="468">
        <f>K82*L82*M82</f>
        <v>0</v>
      </c>
      <c r="O82" s="470">
        <f>N82</f>
        <v>0</v>
      </c>
      <c r="P82" s="482">
        <v>4</v>
      </c>
      <c r="Q82" s="483">
        <f>K82*P82</f>
        <v>0</v>
      </c>
      <c r="S82" s="130"/>
      <c r="T82" s="130"/>
    </row>
    <row r="83" spans="1:20" ht="12.75">
      <c r="A83" s="393"/>
      <c r="B83" s="390"/>
      <c r="C83" s="432" t="s">
        <v>504</v>
      </c>
      <c r="D83" s="390"/>
      <c r="I83" s="425">
        <f>LINEA!K12+LINEA!K13</f>
        <v>0</v>
      </c>
      <c r="J83" s="425">
        <v>2</v>
      </c>
      <c r="K83" s="425">
        <f>J83*(I83)</f>
        <v>0</v>
      </c>
      <c r="L83" s="467">
        <f>L70</f>
        <v>0.83</v>
      </c>
      <c r="M83" s="467">
        <f>$C$15</f>
        <v>0.546</v>
      </c>
      <c r="N83" s="468">
        <f>K83*L83*M83</f>
        <v>0</v>
      </c>
      <c r="O83" s="470">
        <f>N83</f>
        <v>0</v>
      </c>
      <c r="P83" s="482">
        <v>1</v>
      </c>
      <c r="Q83" s="483">
        <f>K83*P83</f>
        <v>0</v>
      </c>
      <c r="S83" s="130"/>
      <c r="T83" s="130"/>
    </row>
    <row r="84" spans="1:20" ht="15.75">
      <c r="A84" s="393"/>
      <c r="B84" s="424"/>
      <c r="C84" s="390"/>
      <c r="D84" s="390"/>
      <c r="I84" s="425"/>
      <c r="J84" s="425"/>
      <c r="K84" s="425"/>
      <c r="L84" s="467"/>
      <c r="M84" s="467"/>
      <c r="N84" s="468"/>
      <c r="O84" s="469"/>
      <c r="P84" s="482"/>
      <c r="Q84" s="483"/>
      <c r="S84" s="130"/>
      <c r="T84" s="130"/>
    </row>
    <row r="85" spans="1:20" ht="13.5" thickBot="1">
      <c r="A85" s="393">
        <v>6</v>
      </c>
      <c r="B85" s="390"/>
      <c r="C85" s="390"/>
      <c r="D85" s="390"/>
      <c r="I85" s="425"/>
      <c r="J85" s="425"/>
      <c r="K85" s="425">
        <f>J85*(I85)</f>
        <v>0</v>
      </c>
      <c r="L85" s="467"/>
      <c r="M85" s="467"/>
      <c r="N85" s="468"/>
      <c r="O85" s="469"/>
      <c r="P85" s="482"/>
      <c r="Q85" s="483"/>
      <c r="S85" s="130"/>
      <c r="T85" s="130"/>
    </row>
    <row r="86" spans="1:20" ht="13.5" thickBot="1">
      <c r="A86" s="389"/>
      <c r="B86" s="388" t="s">
        <v>14</v>
      </c>
      <c r="C86" s="398"/>
      <c r="D86" s="398"/>
      <c r="E86" s="398"/>
      <c r="F86" s="398"/>
      <c r="G86" s="398"/>
      <c r="H86" s="428"/>
      <c r="I86" s="381">
        <f>SUM(I87:I126)</f>
        <v>0</v>
      </c>
      <c r="J86" s="381"/>
      <c r="K86" s="381">
        <f>SUM(K87:K126)</f>
        <v>0</v>
      </c>
      <c r="L86" s="436">
        <f>SUM(L87:L126)</f>
        <v>16.799999999999997</v>
      </c>
      <c r="M86" s="436">
        <f>SUM(M87:M126)</f>
        <v>12.540666666666663</v>
      </c>
      <c r="N86" s="471">
        <f>SUM(N87:N126)</f>
        <v>0</v>
      </c>
      <c r="O86" s="471">
        <f>SUM(O87:O126)</f>
        <v>0</v>
      </c>
      <c r="P86" s="502"/>
      <c r="Q86" s="503">
        <f>SUM(Q87:Q126)</f>
        <v>0</v>
      </c>
      <c r="S86" s="130"/>
      <c r="T86" s="130"/>
    </row>
    <row r="87" spans="1:20" ht="15.75">
      <c r="A87" s="393">
        <v>1</v>
      </c>
      <c r="B87" s="424" t="s">
        <v>538</v>
      </c>
      <c r="C87" s="390"/>
      <c r="D87" s="390"/>
      <c r="I87" s="425"/>
      <c r="J87" s="425"/>
      <c r="K87" s="425"/>
      <c r="L87" s="467"/>
      <c r="M87" s="467"/>
      <c r="N87" s="468"/>
      <c r="O87" s="469"/>
      <c r="P87" s="482"/>
      <c r="Q87" s="483"/>
      <c r="S87" s="130"/>
      <c r="T87" s="130"/>
    </row>
    <row r="88" spans="1:20" ht="12.75">
      <c r="A88" s="393"/>
      <c r="B88" s="390"/>
      <c r="C88" s="390" t="s">
        <v>186</v>
      </c>
      <c r="D88" s="390"/>
      <c r="I88" s="425">
        <f>ELITE!K13</f>
        <v>0</v>
      </c>
      <c r="J88" s="425">
        <v>2</v>
      </c>
      <c r="K88" s="425">
        <f>I88*J88</f>
        <v>0</v>
      </c>
      <c r="L88" s="468">
        <f>I10</f>
        <v>1.94</v>
      </c>
      <c r="M88" s="467">
        <f>$C$15</f>
        <v>0.546</v>
      </c>
      <c r="N88" s="468">
        <f>K88*L88*M88</f>
        <v>0</v>
      </c>
      <c r="O88" s="470">
        <f>N88</f>
        <v>0</v>
      </c>
      <c r="P88" s="482">
        <v>4</v>
      </c>
      <c r="Q88" s="484">
        <f>K88*P88</f>
        <v>0</v>
      </c>
      <c r="R88" s="486"/>
      <c r="S88" s="130"/>
      <c r="T88" s="130"/>
    </row>
    <row r="89" spans="1:20" ht="12.75">
      <c r="A89" s="393"/>
      <c r="B89" s="390"/>
      <c r="C89" s="390" t="s">
        <v>300</v>
      </c>
      <c r="D89" s="390"/>
      <c r="I89" s="425">
        <f>ELITE!K12</f>
        <v>0</v>
      </c>
      <c r="J89" s="425">
        <f>2</f>
        <v>2</v>
      </c>
      <c r="K89" s="425">
        <f>I89*J89</f>
        <v>0</v>
      </c>
      <c r="L89" s="468">
        <f>I14</f>
        <v>0.09</v>
      </c>
      <c r="M89" s="467">
        <f>$C$15</f>
        <v>0.546</v>
      </c>
      <c r="N89" s="468">
        <f>K89*L89*M89</f>
        <v>0</v>
      </c>
      <c r="O89" s="470"/>
      <c r="P89" s="482">
        <v>4</v>
      </c>
      <c r="Q89" s="484">
        <f>K89*P89</f>
        <v>0</v>
      </c>
      <c r="R89" s="486"/>
      <c r="S89" s="130"/>
      <c r="T89" s="130"/>
    </row>
    <row r="90" spans="1:20" ht="15.75">
      <c r="A90" s="393">
        <v>2</v>
      </c>
      <c r="B90" s="424" t="s">
        <v>539</v>
      </c>
      <c r="C90" s="390"/>
      <c r="D90" s="390"/>
      <c r="I90" s="425"/>
      <c r="J90" s="425"/>
      <c r="K90" s="425"/>
      <c r="L90" s="467"/>
      <c r="M90" s="467"/>
      <c r="N90" s="468"/>
      <c r="O90" s="469"/>
      <c r="P90" s="482"/>
      <c r="Q90" s="484"/>
      <c r="S90" s="130"/>
      <c r="T90" s="130"/>
    </row>
    <row r="91" spans="1:20" ht="15.75">
      <c r="A91" s="393"/>
      <c r="B91" s="424"/>
      <c r="C91" s="390" t="s">
        <v>540</v>
      </c>
      <c r="D91" s="390"/>
      <c r="I91" s="425">
        <f>ELITE!K5</f>
        <v>0</v>
      </c>
      <c r="J91" s="425">
        <v>2</v>
      </c>
      <c r="K91" s="425">
        <f aca="true" t="shared" si="11" ref="K91:K100">I91*J91</f>
        <v>0</v>
      </c>
      <c r="L91" s="467">
        <f>L35</f>
        <v>0.09</v>
      </c>
      <c r="M91" s="467">
        <f aca="true" t="shared" si="12" ref="M91:M100">$C$15</f>
        <v>0.546</v>
      </c>
      <c r="N91" s="468">
        <f aca="true" t="shared" si="13" ref="N91:N100">K91*L91*M91</f>
        <v>0</v>
      </c>
      <c r="O91" s="470">
        <f aca="true" t="shared" si="14" ref="O91:O100">N91</f>
        <v>0</v>
      </c>
      <c r="P91" s="482">
        <v>4</v>
      </c>
      <c r="Q91" s="484">
        <f aca="true" t="shared" si="15" ref="Q91:Q100">K91*P91</f>
        <v>0</v>
      </c>
      <c r="S91" s="130"/>
      <c r="T91" s="130"/>
    </row>
    <row r="92" spans="1:20" ht="15.75">
      <c r="A92" s="393"/>
      <c r="B92" s="424"/>
      <c r="C92" s="390" t="s">
        <v>541</v>
      </c>
      <c r="D92" s="390"/>
      <c r="I92" s="425">
        <f>ELITE!K8</f>
        <v>0</v>
      </c>
      <c r="J92" s="425">
        <v>3</v>
      </c>
      <c r="K92" s="425">
        <f t="shared" si="11"/>
        <v>0</v>
      </c>
      <c r="L92" s="467">
        <f>L40</f>
        <v>0</v>
      </c>
      <c r="M92" s="467">
        <f t="shared" si="12"/>
        <v>0.546</v>
      </c>
      <c r="N92" s="468">
        <f t="shared" si="13"/>
        <v>0</v>
      </c>
      <c r="O92" s="470">
        <f t="shared" si="14"/>
        <v>0</v>
      </c>
      <c r="P92" s="482">
        <v>4</v>
      </c>
      <c r="Q92" s="484">
        <f t="shared" si="15"/>
        <v>0</v>
      </c>
      <c r="S92" s="130"/>
      <c r="T92" s="130"/>
    </row>
    <row r="93" spans="1:20" ht="15.75">
      <c r="A93" s="393"/>
      <c r="B93" s="424"/>
      <c r="C93" s="390" t="s">
        <v>542</v>
      </c>
      <c r="D93" s="390"/>
      <c r="I93" s="425">
        <f>ELITE!K6</f>
        <v>0</v>
      </c>
      <c r="J93" s="425">
        <v>2</v>
      </c>
      <c r="K93" s="425">
        <f t="shared" si="11"/>
        <v>0</v>
      </c>
      <c r="L93" s="467">
        <f>L41</f>
        <v>0.83</v>
      </c>
      <c r="M93" s="467">
        <f t="shared" si="12"/>
        <v>0.546</v>
      </c>
      <c r="N93" s="468">
        <f t="shared" si="13"/>
        <v>0</v>
      </c>
      <c r="O93" s="470">
        <f t="shared" si="14"/>
        <v>0</v>
      </c>
      <c r="P93" s="482">
        <v>1</v>
      </c>
      <c r="Q93" s="484">
        <f t="shared" si="15"/>
        <v>0</v>
      </c>
      <c r="S93" s="130"/>
      <c r="T93" s="130"/>
    </row>
    <row r="94" spans="1:20" ht="15.75">
      <c r="A94" s="393"/>
      <c r="B94" s="424"/>
      <c r="C94" s="390" t="s">
        <v>291</v>
      </c>
      <c r="D94" s="390"/>
      <c r="I94" s="425">
        <f>ELITE!K7</f>
        <v>0</v>
      </c>
      <c r="J94" s="425">
        <v>2</v>
      </c>
      <c r="K94" s="425">
        <f t="shared" si="11"/>
        <v>0</v>
      </c>
      <c r="L94" s="467">
        <f>M12</f>
        <v>2.56</v>
      </c>
      <c r="M94" s="467">
        <f t="shared" si="12"/>
        <v>0.546</v>
      </c>
      <c r="N94" s="468">
        <f t="shared" si="13"/>
        <v>0</v>
      </c>
      <c r="O94" s="470">
        <f t="shared" si="14"/>
        <v>0</v>
      </c>
      <c r="P94" s="482">
        <v>1</v>
      </c>
      <c r="Q94" s="484">
        <f t="shared" si="15"/>
        <v>0</v>
      </c>
      <c r="S94" s="130"/>
      <c r="T94" s="130"/>
    </row>
    <row r="95" spans="1:20" ht="15.75">
      <c r="A95" s="393"/>
      <c r="B95" s="424"/>
      <c r="C95" s="390" t="s">
        <v>169</v>
      </c>
      <c r="D95" s="390"/>
      <c r="I95" s="425">
        <f>ELITE!K9</f>
        <v>0</v>
      </c>
      <c r="J95" s="425">
        <v>2</v>
      </c>
      <c r="K95" s="425">
        <f t="shared" si="11"/>
        <v>0</v>
      </c>
      <c r="L95" s="467">
        <f>L41</f>
        <v>0.83</v>
      </c>
      <c r="M95" s="467">
        <f t="shared" si="12"/>
        <v>0.546</v>
      </c>
      <c r="N95" s="468">
        <f t="shared" si="13"/>
        <v>0</v>
      </c>
      <c r="O95" s="470">
        <f t="shared" si="14"/>
        <v>0</v>
      </c>
      <c r="P95" s="482">
        <v>1</v>
      </c>
      <c r="Q95" s="484">
        <f t="shared" si="15"/>
        <v>0</v>
      </c>
      <c r="S95" s="130"/>
      <c r="T95" s="130"/>
    </row>
    <row r="96" spans="1:20" ht="15.75">
      <c r="A96" s="393"/>
      <c r="B96" s="424"/>
      <c r="C96" s="111" t="s">
        <v>540</v>
      </c>
      <c r="D96" s="390"/>
      <c r="I96" s="425">
        <f>ELITE!L5</f>
        <v>0</v>
      </c>
      <c r="J96" s="425">
        <v>3</v>
      </c>
      <c r="K96" s="425">
        <f t="shared" si="11"/>
        <v>0</v>
      </c>
      <c r="L96" s="467">
        <f>L91</f>
        <v>0.09</v>
      </c>
      <c r="M96" s="467">
        <f t="shared" si="12"/>
        <v>0.546</v>
      </c>
      <c r="N96" s="468">
        <f t="shared" si="13"/>
        <v>0</v>
      </c>
      <c r="O96" s="470">
        <f t="shared" si="14"/>
        <v>0</v>
      </c>
      <c r="P96" s="482">
        <v>4</v>
      </c>
      <c r="Q96" s="484">
        <f t="shared" si="15"/>
        <v>0</v>
      </c>
      <c r="S96" s="130"/>
      <c r="T96" s="130"/>
    </row>
    <row r="97" spans="1:20" ht="15.75">
      <c r="A97" s="393"/>
      <c r="B97" s="424"/>
      <c r="C97" s="111" t="s">
        <v>541</v>
      </c>
      <c r="D97" s="390"/>
      <c r="I97" s="425">
        <f>ELITE!L8</f>
        <v>0</v>
      </c>
      <c r="J97" s="425">
        <v>4</v>
      </c>
      <c r="K97" s="425">
        <f t="shared" si="11"/>
        <v>0</v>
      </c>
      <c r="L97" s="467">
        <f>L92</f>
        <v>0</v>
      </c>
      <c r="M97" s="467">
        <f t="shared" si="12"/>
        <v>0.546</v>
      </c>
      <c r="N97" s="468">
        <f t="shared" si="13"/>
        <v>0</v>
      </c>
      <c r="O97" s="470">
        <f t="shared" si="14"/>
        <v>0</v>
      </c>
      <c r="P97" s="482">
        <v>4</v>
      </c>
      <c r="Q97" s="484">
        <f t="shared" si="15"/>
        <v>0</v>
      </c>
      <c r="S97" s="130"/>
      <c r="T97" s="130"/>
    </row>
    <row r="98" spans="1:20" ht="15.75">
      <c r="A98" s="393"/>
      <c r="B98" s="424"/>
      <c r="C98" s="111" t="s">
        <v>542</v>
      </c>
      <c r="D98" s="390"/>
      <c r="I98" s="425">
        <f>ELITE!L6</f>
        <v>0</v>
      </c>
      <c r="J98" s="425">
        <v>3</v>
      </c>
      <c r="K98" s="425">
        <f t="shared" si="11"/>
        <v>0</v>
      </c>
      <c r="L98" s="467">
        <f>L93</f>
        <v>0.83</v>
      </c>
      <c r="M98" s="467">
        <f t="shared" si="12"/>
        <v>0.546</v>
      </c>
      <c r="N98" s="468">
        <f t="shared" si="13"/>
        <v>0</v>
      </c>
      <c r="O98" s="470">
        <f t="shared" si="14"/>
        <v>0</v>
      </c>
      <c r="P98" s="482">
        <v>1</v>
      </c>
      <c r="Q98" s="484">
        <f t="shared" si="15"/>
        <v>0</v>
      </c>
      <c r="S98" s="130"/>
      <c r="T98" s="130"/>
    </row>
    <row r="99" spans="1:20" ht="15.75">
      <c r="A99" s="393"/>
      <c r="B99" s="424"/>
      <c r="C99" s="111" t="s">
        <v>291</v>
      </c>
      <c r="D99" s="390"/>
      <c r="I99" s="425">
        <f>ELITE!L7</f>
        <v>0</v>
      </c>
      <c r="J99" s="425">
        <v>3</v>
      </c>
      <c r="K99" s="425">
        <f t="shared" si="11"/>
        <v>0</v>
      </c>
      <c r="L99" s="467">
        <f>L94</f>
        <v>2.56</v>
      </c>
      <c r="M99" s="467">
        <f t="shared" si="12"/>
        <v>0.546</v>
      </c>
      <c r="N99" s="468">
        <f t="shared" si="13"/>
        <v>0</v>
      </c>
      <c r="O99" s="470">
        <f t="shared" si="14"/>
        <v>0</v>
      </c>
      <c r="P99" s="482">
        <v>1</v>
      </c>
      <c r="Q99" s="484">
        <f t="shared" si="15"/>
        <v>0</v>
      </c>
      <c r="S99" s="130"/>
      <c r="T99" s="130"/>
    </row>
    <row r="100" spans="1:20" ht="15.75">
      <c r="A100" s="393"/>
      <c r="B100" s="424"/>
      <c r="C100" s="111" t="s">
        <v>169</v>
      </c>
      <c r="D100" s="390"/>
      <c r="I100" s="425">
        <f>ELITE!L9</f>
        <v>0</v>
      </c>
      <c r="J100" s="425">
        <v>3</v>
      </c>
      <c r="K100" s="425">
        <f t="shared" si="11"/>
        <v>0</v>
      </c>
      <c r="L100" s="467">
        <f>L95</f>
        <v>0.83</v>
      </c>
      <c r="M100" s="467">
        <f t="shared" si="12"/>
        <v>0.546</v>
      </c>
      <c r="N100" s="468">
        <f t="shared" si="13"/>
        <v>0</v>
      </c>
      <c r="O100" s="470">
        <f t="shared" si="14"/>
        <v>0</v>
      </c>
      <c r="P100" s="482">
        <v>1</v>
      </c>
      <c r="Q100" s="484">
        <f t="shared" si="15"/>
        <v>0</v>
      </c>
      <c r="S100" s="130"/>
      <c r="T100" s="130"/>
    </row>
    <row r="101" spans="1:20" ht="15.75">
      <c r="A101" s="393">
        <v>2</v>
      </c>
      <c r="B101" s="424" t="s">
        <v>307</v>
      </c>
      <c r="C101" s="111"/>
      <c r="D101" s="390"/>
      <c r="I101" s="425"/>
      <c r="J101" s="425"/>
      <c r="K101" s="425"/>
      <c r="L101" s="467"/>
      <c r="M101" s="467"/>
      <c r="N101" s="468"/>
      <c r="O101" s="470"/>
      <c r="P101" s="482"/>
      <c r="Q101" s="484"/>
      <c r="S101" s="130"/>
      <c r="T101" s="130"/>
    </row>
    <row r="102" spans="1:20" ht="15.75">
      <c r="A102" s="393"/>
      <c r="B102" s="424"/>
      <c r="C102" s="432" t="s">
        <v>300</v>
      </c>
      <c r="D102" s="390"/>
      <c r="I102" s="425">
        <f>ELITE!K34</f>
        <v>0</v>
      </c>
      <c r="J102" s="425">
        <v>1</v>
      </c>
      <c r="K102" s="425">
        <f aca="true" t="shared" si="16" ref="K102:K107">I102*J102</f>
        <v>0</v>
      </c>
      <c r="L102" s="467">
        <f>$L$35</f>
        <v>0.09</v>
      </c>
      <c r="M102" s="467">
        <f>$C$22</f>
        <v>0.16666666666666666</v>
      </c>
      <c r="N102" s="468">
        <f aca="true" t="shared" si="17" ref="N102:N107">K102*L102*M102</f>
        <v>0</v>
      </c>
      <c r="O102" s="470"/>
      <c r="P102" s="482">
        <v>4</v>
      </c>
      <c r="Q102" s="484">
        <f aca="true" t="shared" si="18" ref="Q102:Q107">K102*P102</f>
        <v>0</v>
      </c>
      <c r="S102" s="130"/>
      <c r="T102" s="130"/>
    </row>
    <row r="103" spans="1:20" ht="15.75">
      <c r="A103" s="393"/>
      <c r="B103" s="424"/>
      <c r="C103" s="111" t="s">
        <v>546</v>
      </c>
      <c r="I103" s="425">
        <f>ELITE!K35</f>
        <v>0</v>
      </c>
      <c r="J103" s="425">
        <v>1</v>
      </c>
      <c r="K103" s="425">
        <f t="shared" si="16"/>
        <v>0</v>
      </c>
      <c r="L103" s="467">
        <f>$L$35</f>
        <v>0.09</v>
      </c>
      <c r="M103" s="467">
        <f>$C$22</f>
        <v>0.16666666666666666</v>
      </c>
      <c r="N103" s="468">
        <f t="shared" si="17"/>
        <v>0</v>
      </c>
      <c r="O103" s="470"/>
      <c r="P103" s="482">
        <v>4</v>
      </c>
      <c r="Q103" s="484">
        <f t="shared" si="18"/>
        <v>0</v>
      </c>
      <c r="S103" s="130"/>
      <c r="T103" s="130"/>
    </row>
    <row r="104" spans="1:20" ht="15.75">
      <c r="A104" s="393"/>
      <c r="B104" s="424"/>
      <c r="C104" s="111" t="s">
        <v>547</v>
      </c>
      <c r="I104" s="425">
        <f>ELITE!K36</f>
        <v>0</v>
      </c>
      <c r="J104" s="425">
        <v>1</v>
      </c>
      <c r="K104" s="425">
        <f t="shared" si="16"/>
        <v>0</v>
      </c>
      <c r="L104" s="467">
        <f>$L$35</f>
        <v>0.09</v>
      </c>
      <c r="M104" s="467">
        <f>$C$22</f>
        <v>0.16666666666666666</v>
      </c>
      <c r="N104" s="468">
        <f t="shared" si="17"/>
        <v>0</v>
      </c>
      <c r="O104" s="470"/>
      <c r="P104" s="482">
        <v>4</v>
      </c>
      <c r="Q104" s="484">
        <f t="shared" si="18"/>
        <v>0</v>
      </c>
      <c r="S104" s="130"/>
      <c r="T104" s="130"/>
    </row>
    <row r="105" spans="1:20" ht="15.75">
      <c r="A105" s="393"/>
      <c r="B105" s="424"/>
      <c r="C105" s="432" t="s">
        <v>548</v>
      </c>
      <c r="D105" s="390"/>
      <c r="I105" s="425">
        <f>ELITE!K38</f>
        <v>0</v>
      </c>
      <c r="J105" s="425">
        <v>1</v>
      </c>
      <c r="K105" s="425">
        <f t="shared" si="16"/>
        <v>0</v>
      </c>
      <c r="L105" s="467">
        <f>$L$35</f>
        <v>0.09</v>
      </c>
      <c r="M105" s="467">
        <f>$C$22</f>
        <v>0.16666666666666666</v>
      </c>
      <c r="N105" s="468">
        <f t="shared" si="17"/>
        <v>0</v>
      </c>
      <c r="O105" s="470"/>
      <c r="P105" s="482">
        <v>4</v>
      </c>
      <c r="Q105" s="484">
        <f t="shared" si="18"/>
        <v>0</v>
      </c>
      <c r="S105" s="130"/>
      <c r="T105" s="130"/>
    </row>
    <row r="106" spans="1:20" ht="15.75">
      <c r="A106" s="393"/>
      <c r="B106" s="424"/>
      <c r="C106" s="432" t="s">
        <v>549</v>
      </c>
      <c r="D106" s="390"/>
      <c r="I106" s="425">
        <f>ELITE!K40</f>
        <v>0</v>
      </c>
      <c r="J106" s="425">
        <v>1</v>
      </c>
      <c r="K106" s="425">
        <f t="shared" si="16"/>
        <v>0</v>
      </c>
      <c r="L106" s="467">
        <f>$L$35</f>
        <v>0.09</v>
      </c>
      <c r="M106" s="467">
        <f>$C$22</f>
        <v>0.16666666666666666</v>
      </c>
      <c r="N106" s="468">
        <f t="shared" si="17"/>
        <v>0</v>
      </c>
      <c r="O106" s="470">
        <f>N106</f>
        <v>0</v>
      </c>
      <c r="P106" s="482">
        <v>4</v>
      </c>
      <c r="Q106" s="484">
        <f t="shared" si="18"/>
        <v>0</v>
      </c>
      <c r="S106" s="130"/>
      <c r="T106" s="130"/>
    </row>
    <row r="107" spans="1:20" ht="15.75">
      <c r="A107" s="393"/>
      <c r="B107" s="424"/>
      <c r="C107" s="432" t="s">
        <v>550</v>
      </c>
      <c r="D107" s="390"/>
      <c r="I107" s="425">
        <f>ELITE!K42+ELITE!K43</f>
        <v>0</v>
      </c>
      <c r="J107" s="425">
        <v>2</v>
      </c>
      <c r="K107" s="425">
        <f t="shared" si="16"/>
        <v>0</v>
      </c>
      <c r="L107" s="467">
        <f>L41</f>
        <v>0.83</v>
      </c>
      <c r="M107" s="467">
        <f>$C$15</f>
        <v>0.546</v>
      </c>
      <c r="N107" s="468">
        <f t="shared" si="17"/>
        <v>0</v>
      </c>
      <c r="O107" s="470">
        <f>N107</f>
        <v>0</v>
      </c>
      <c r="P107" s="482">
        <v>1</v>
      </c>
      <c r="Q107" s="484">
        <f t="shared" si="18"/>
        <v>0</v>
      </c>
      <c r="S107" s="130"/>
      <c r="T107" s="130"/>
    </row>
    <row r="108" spans="1:20" ht="15.75">
      <c r="A108" s="393">
        <v>3</v>
      </c>
      <c r="B108" s="424" t="s">
        <v>301</v>
      </c>
      <c r="C108" s="432"/>
      <c r="D108" s="390"/>
      <c r="I108" s="425"/>
      <c r="J108" s="425"/>
      <c r="K108" s="425"/>
      <c r="L108" s="467"/>
      <c r="M108" s="467"/>
      <c r="N108" s="468"/>
      <c r="O108" s="470"/>
      <c r="P108" s="482"/>
      <c r="Q108" s="484"/>
      <c r="S108" s="130"/>
      <c r="T108" s="130"/>
    </row>
    <row r="109" spans="1:20" ht="15.75">
      <c r="A109" s="393"/>
      <c r="B109" s="424"/>
      <c r="C109" s="432" t="s">
        <v>266</v>
      </c>
      <c r="D109" s="390"/>
      <c r="I109" s="425">
        <f>ELITE!K23+ELITE!K25</f>
        <v>0</v>
      </c>
      <c r="J109" s="425">
        <v>1</v>
      </c>
      <c r="K109" s="425">
        <f aca="true" t="shared" si="19" ref="K109:K114">I109*J109</f>
        <v>0</v>
      </c>
      <c r="L109" s="467">
        <f>$I$14</f>
        <v>0.09</v>
      </c>
      <c r="M109" s="467">
        <f>$C$22</f>
        <v>0.16666666666666666</v>
      </c>
      <c r="N109" s="468">
        <f aca="true" t="shared" si="20" ref="N109:N114">K109*L109*M109</f>
        <v>0</v>
      </c>
      <c r="O109" s="470">
        <f>N109</f>
        <v>0</v>
      </c>
      <c r="P109" s="482">
        <v>4</v>
      </c>
      <c r="Q109" s="484">
        <f aca="true" t="shared" si="21" ref="Q109:Q114">K109*P109</f>
        <v>0</v>
      </c>
      <c r="S109" s="130"/>
      <c r="T109" s="130"/>
    </row>
    <row r="110" spans="1:20" ht="15.75">
      <c r="A110" s="393"/>
      <c r="B110" s="424"/>
      <c r="C110" s="432" t="s">
        <v>555</v>
      </c>
      <c r="D110" s="390"/>
      <c r="I110" s="425">
        <f>ELITE!K24+ELITE!K26</f>
        <v>0</v>
      </c>
      <c r="J110" s="425">
        <v>1</v>
      </c>
      <c r="K110" s="425">
        <f t="shared" si="19"/>
        <v>0</v>
      </c>
      <c r="L110" s="467">
        <f>$I$14</f>
        <v>0.09</v>
      </c>
      <c r="M110" s="467">
        <f>$C$22</f>
        <v>0.16666666666666666</v>
      </c>
      <c r="N110" s="468">
        <f t="shared" si="20"/>
        <v>0</v>
      </c>
      <c r="O110" s="470">
        <f>N110</f>
        <v>0</v>
      </c>
      <c r="P110" s="482">
        <v>4</v>
      </c>
      <c r="Q110" s="484">
        <f t="shared" si="21"/>
        <v>0</v>
      </c>
      <c r="S110" s="130"/>
      <c r="T110" s="130"/>
    </row>
    <row r="111" spans="1:20" ht="15.75">
      <c r="A111" s="393"/>
      <c r="B111" s="424"/>
      <c r="C111" s="432" t="s">
        <v>552</v>
      </c>
      <c r="D111" s="390"/>
      <c r="I111" s="425">
        <f>ELITE!K23+ELITE!K24</f>
        <v>0</v>
      </c>
      <c r="J111" s="425">
        <v>1</v>
      </c>
      <c r="K111" s="425">
        <f t="shared" si="19"/>
        <v>0</v>
      </c>
      <c r="L111" s="467">
        <f>$L$41</f>
        <v>0.83</v>
      </c>
      <c r="M111" s="467">
        <f>$C$15</f>
        <v>0.546</v>
      </c>
      <c r="N111" s="468">
        <f t="shared" si="20"/>
        <v>0</v>
      </c>
      <c r="O111" s="470">
        <f>N111</f>
        <v>0</v>
      </c>
      <c r="P111" s="482">
        <v>1</v>
      </c>
      <c r="Q111" s="484">
        <f t="shared" si="21"/>
        <v>0</v>
      </c>
      <c r="S111" s="130"/>
      <c r="T111" s="130"/>
    </row>
    <row r="112" spans="1:20" ht="15.75">
      <c r="A112" s="393"/>
      <c r="B112" s="424"/>
      <c r="C112" s="432" t="s">
        <v>558</v>
      </c>
      <c r="D112" s="390"/>
      <c r="I112" s="425">
        <f>ELITE!K25+ELITE!K26</f>
        <v>0</v>
      </c>
      <c r="J112" s="425">
        <v>2</v>
      </c>
      <c r="K112" s="425">
        <f t="shared" si="19"/>
        <v>0</v>
      </c>
      <c r="L112" s="467">
        <f>$L$41</f>
        <v>0.83</v>
      </c>
      <c r="M112" s="467">
        <f>$C$15</f>
        <v>0.546</v>
      </c>
      <c r="N112" s="468">
        <f t="shared" si="20"/>
        <v>0</v>
      </c>
      <c r="O112" s="470">
        <f>N112</f>
        <v>0</v>
      </c>
      <c r="P112" s="482">
        <v>1</v>
      </c>
      <c r="Q112" s="484">
        <f t="shared" si="21"/>
        <v>0</v>
      </c>
      <c r="S112" s="130"/>
      <c r="T112" s="130"/>
    </row>
    <row r="113" spans="1:20" ht="15.75">
      <c r="A113" s="393"/>
      <c r="B113" s="424"/>
      <c r="C113" s="432" t="s">
        <v>553</v>
      </c>
      <c r="D113" s="390"/>
      <c r="I113" s="425">
        <f>ELITE!H29+ELITE!H30+ELITE!H31+ELITE!K27</f>
        <v>0</v>
      </c>
      <c r="J113" s="425">
        <v>1</v>
      </c>
      <c r="K113" s="425">
        <f t="shared" si="19"/>
        <v>0</v>
      </c>
      <c r="L113" s="467">
        <f>I17</f>
        <v>0</v>
      </c>
      <c r="M113" s="467">
        <f>$C$15</f>
        <v>0.546</v>
      </c>
      <c r="N113" s="468">
        <f t="shared" si="20"/>
        <v>0</v>
      </c>
      <c r="O113" s="470"/>
      <c r="P113" s="482">
        <v>3</v>
      </c>
      <c r="Q113" s="484">
        <f t="shared" si="21"/>
        <v>0</v>
      </c>
      <c r="S113" s="130"/>
      <c r="T113" s="130"/>
    </row>
    <row r="114" spans="1:20" ht="15.75">
      <c r="A114" s="393"/>
      <c r="B114" s="424"/>
      <c r="C114" s="432" t="s">
        <v>554</v>
      </c>
      <c r="D114" s="390"/>
      <c r="I114" s="425">
        <f>ELITE!K27</f>
        <v>0</v>
      </c>
      <c r="J114" s="425">
        <v>1</v>
      </c>
      <c r="K114" s="425">
        <f t="shared" si="19"/>
        <v>0</v>
      </c>
      <c r="L114" s="467">
        <f>$L$41</f>
        <v>0.83</v>
      </c>
      <c r="M114" s="467">
        <f>$C$15</f>
        <v>0.546</v>
      </c>
      <c r="N114" s="468">
        <f t="shared" si="20"/>
        <v>0</v>
      </c>
      <c r="O114" s="470">
        <f>N114</f>
        <v>0</v>
      </c>
      <c r="P114" s="482">
        <v>1</v>
      </c>
      <c r="Q114" s="484">
        <f t="shared" si="21"/>
        <v>0</v>
      </c>
      <c r="S114" s="130"/>
      <c r="T114" s="130"/>
    </row>
    <row r="115" spans="1:20" ht="15.75">
      <c r="A115" s="393">
        <v>3</v>
      </c>
      <c r="B115" s="424" t="s">
        <v>308</v>
      </c>
      <c r="C115" s="432"/>
      <c r="D115" s="390"/>
      <c r="I115" s="425"/>
      <c r="J115" s="425"/>
      <c r="K115" s="425"/>
      <c r="L115" s="467"/>
      <c r="M115" s="467"/>
      <c r="N115" s="468"/>
      <c r="O115" s="470"/>
      <c r="P115" s="482"/>
      <c r="Q115" s="484"/>
      <c r="S115" s="130"/>
      <c r="T115" s="130"/>
    </row>
    <row r="116" spans="1:20" ht="15.75">
      <c r="A116" s="393"/>
      <c r="B116" s="424"/>
      <c r="C116" s="432" t="s">
        <v>300</v>
      </c>
      <c r="D116" s="390"/>
      <c r="I116" s="425">
        <f>ELITE!K46</f>
        <v>0</v>
      </c>
      <c r="J116" s="425">
        <v>1</v>
      </c>
      <c r="K116" s="425">
        <f aca="true" t="shared" si="22" ref="K116:K123">I116*J116</f>
        <v>0</v>
      </c>
      <c r="L116" s="467">
        <f>$I$14</f>
        <v>0.09</v>
      </c>
      <c r="M116" s="467">
        <f>$C$22</f>
        <v>0.16666666666666666</v>
      </c>
      <c r="N116" s="468">
        <f aca="true" t="shared" si="23" ref="N116:N123">K116*L116*M116</f>
        <v>0</v>
      </c>
      <c r="O116" s="470"/>
      <c r="P116" s="482">
        <v>4</v>
      </c>
      <c r="Q116" s="484">
        <f aca="true" t="shared" si="24" ref="Q116:Q123">K116*P116</f>
        <v>0</v>
      </c>
      <c r="S116" s="130"/>
      <c r="T116" s="130"/>
    </row>
    <row r="117" spans="1:20" ht="15.75">
      <c r="A117" s="393"/>
      <c r="B117" s="424"/>
      <c r="C117" s="432" t="s">
        <v>528</v>
      </c>
      <c r="D117" s="390"/>
      <c r="I117" s="425">
        <f>ELITE!K48</f>
        <v>0</v>
      </c>
      <c r="J117" s="425">
        <v>1</v>
      </c>
      <c r="K117" s="425">
        <f t="shared" si="22"/>
        <v>0</v>
      </c>
      <c r="L117" s="467">
        <f>$I$14</f>
        <v>0.09</v>
      </c>
      <c r="M117" s="467">
        <f>$C$22</f>
        <v>0.16666666666666666</v>
      </c>
      <c r="N117" s="468">
        <f t="shared" si="23"/>
        <v>0</v>
      </c>
      <c r="O117" s="470"/>
      <c r="P117" s="482">
        <v>4</v>
      </c>
      <c r="Q117" s="484">
        <f t="shared" si="24"/>
        <v>0</v>
      </c>
      <c r="S117" s="130"/>
      <c r="T117" s="130"/>
    </row>
    <row r="118" spans="1:20" ht="15.75">
      <c r="A118" s="393"/>
      <c r="B118" s="424"/>
      <c r="C118" s="432" t="s">
        <v>529</v>
      </c>
      <c r="D118" s="390"/>
      <c r="I118" s="425">
        <f>ELITE!K50</f>
        <v>0</v>
      </c>
      <c r="J118" s="425">
        <v>1</v>
      </c>
      <c r="K118" s="425">
        <f t="shared" si="22"/>
        <v>0</v>
      </c>
      <c r="L118" s="467">
        <f>$I$14</f>
        <v>0.09</v>
      </c>
      <c r="M118" s="467">
        <f>$C$22</f>
        <v>0.16666666666666666</v>
      </c>
      <c r="N118" s="468">
        <f t="shared" si="23"/>
        <v>0</v>
      </c>
      <c r="O118" s="470">
        <f aca="true" t="shared" si="25" ref="O118:O123">N118</f>
        <v>0</v>
      </c>
      <c r="P118" s="482">
        <v>4</v>
      </c>
      <c r="Q118" s="484">
        <f t="shared" si="24"/>
        <v>0</v>
      </c>
      <c r="S118" s="130"/>
      <c r="T118" s="130"/>
    </row>
    <row r="119" spans="1:20" ht="15.75">
      <c r="A119" s="393"/>
      <c r="B119" s="424"/>
      <c r="C119" s="432" t="s">
        <v>492</v>
      </c>
      <c r="D119" s="390"/>
      <c r="I119" s="425">
        <f>ELITE!K52</f>
        <v>0</v>
      </c>
      <c r="J119" s="425">
        <v>1</v>
      </c>
      <c r="K119" s="425">
        <f t="shared" si="22"/>
        <v>0</v>
      </c>
      <c r="L119" s="467">
        <f>$I$14</f>
        <v>0.09</v>
      </c>
      <c r="M119" s="467">
        <f>$C$22</f>
        <v>0.16666666666666666</v>
      </c>
      <c r="N119" s="468">
        <f t="shared" si="23"/>
        <v>0</v>
      </c>
      <c r="O119" s="470">
        <f t="shared" si="25"/>
        <v>0</v>
      </c>
      <c r="P119" s="482">
        <v>4</v>
      </c>
      <c r="Q119" s="484">
        <f t="shared" si="24"/>
        <v>0</v>
      </c>
      <c r="S119" s="130"/>
      <c r="T119" s="130"/>
    </row>
    <row r="120" spans="1:20" ht="15.75">
      <c r="A120" s="393"/>
      <c r="B120" s="424"/>
      <c r="C120" s="432" t="s">
        <v>504</v>
      </c>
      <c r="D120" s="390"/>
      <c r="I120" s="425">
        <f>ELITE!K54+ELITE!K55</f>
        <v>0</v>
      </c>
      <c r="J120" s="425">
        <v>2</v>
      </c>
      <c r="K120" s="425">
        <f t="shared" si="22"/>
        <v>0</v>
      </c>
      <c r="L120" s="467">
        <f>L41</f>
        <v>0.83</v>
      </c>
      <c r="M120" s="467">
        <f>$C$15</f>
        <v>0.546</v>
      </c>
      <c r="N120" s="468">
        <f t="shared" si="23"/>
        <v>0</v>
      </c>
      <c r="O120" s="470">
        <f t="shared" si="25"/>
        <v>0</v>
      </c>
      <c r="P120" s="482">
        <v>1</v>
      </c>
      <c r="Q120" s="484">
        <f t="shared" si="24"/>
        <v>0</v>
      </c>
      <c r="S120" s="130"/>
      <c r="T120" s="130"/>
    </row>
    <row r="121" spans="1:20" ht="15.75">
      <c r="A121" s="393"/>
      <c r="B121" s="424"/>
      <c r="C121" s="432" t="s">
        <v>268</v>
      </c>
      <c r="D121" s="390"/>
      <c r="I121" s="425">
        <f>ELITE!K56</f>
        <v>0</v>
      </c>
      <c r="J121" s="425">
        <v>1</v>
      </c>
      <c r="K121" s="425">
        <f t="shared" si="22"/>
        <v>0</v>
      </c>
      <c r="L121" s="467">
        <f>$I$14</f>
        <v>0.09</v>
      </c>
      <c r="M121" s="467">
        <f>$C$22</f>
        <v>0.16666666666666666</v>
      </c>
      <c r="N121" s="468">
        <f t="shared" si="23"/>
        <v>0</v>
      </c>
      <c r="O121" s="470">
        <f t="shared" si="25"/>
        <v>0</v>
      </c>
      <c r="P121" s="482">
        <v>4</v>
      </c>
      <c r="Q121" s="484">
        <f t="shared" si="24"/>
        <v>0</v>
      </c>
      <c r="S121" s="130"/>
      <c r="T121" s="130"/>
    </row>
    <row r="122" spans="1:20" ht="15.75">
      <c r="A122" s="393"/>
      <c r="B122" s="424"/>
      <c r="C122" s="432" t="s">
        <v>541</v>
      </c>
      <c r="D122" s="390"/>
      <c r="I122" s="425">
        <f>ELITE!K58</f>
        <v>0</v>
      </c>
      <c r="J122" s="425">
        <v>1</v>
      </c>
      <c r="K122" s="425">
        <f t="shared" si="22"/>
        <v>0</v>
      </c>
      <c r="L122" s="467">
        <f>L121</f>
        <v>0.09</v>
      </c>
      <c r="M122" s="467">
        <f>$C$22</f>
        <v>0.16666666666666666</v>
      </c>
      <c r="N122" s="468">
        <f t="shared" si="23"/>
        <v>0</v>
      </c>
      <c r="O122" s="470">
        <f t="shared" si="25"/>
        <v>0</v>
      </c>
      <c r="P122" s="482">
        <v>4</v>
      </c>
      <c r="Q122" s="484">
        <f t="shared" si="24"/>
        <v>0</v>
      </c>
      <c r="S122" s="130"/>
      <c r="T122" s="130"/>
    </row>
    <row r="123" spans="1:20" ht="15.75">
      <c r="A123" s="393"/>
      <c r="B123" s="424"/>
      <c r="C123" s="432" t="s">
        <v>169</v>
      </c>
      <c r="D123" s="390"/>
      <c r="I123" s="425">
        <f>ELITE!K60+ELITE!K61</f>
        <v>0</v>
      </c>
      <c r="J123" s="425">
        <v>2</v>
      </c>
      <c r="K123" s="425">
        <f t="shared" si="22"/>
        <v>0</v>
      </c>
      <c r="L123" s="467">
        <f>L120</f>
        <v>0.83</v>
      </c>
      <c r="M123" s="467">
        <f>$C$15</f>
        <v>0.546</v>
      </c>
      <c r="N123" s="468">
        <f t="shared" si="23"/>
        <v>0</v>
      </c>
      <c r="O123" s="470">
        <f t="shared" si="25"/>
        <v>0</v>
      </c>
      <c r="P123" s="482">
        <v>1</v>
      </c>
      <c r="Q123" s="484">
        <f t="shared" si="24"/>
        <v>0</v>
      </c>
      <c r="S123" s="130"/>
      <c r="T123" s="130"/>
    </row>
    <row r="124" spans="1:20" ht="15.75">
      <c r="A124" s="393"/>
      <c r="B124" s="424"/>
      <c r="C124" s="432"/>
      <c r="D124" s="390"/>
      <c r="I124" s="425"/>
      <c r="J124" s="425"/>
      <c r="K124" s="425"/>
      <c r="L124" s="467"/>
      <c r="M124" s="467"/>
      <c r="N124" s="468"/>
      <c r="O124" s="470"/>
      <c r="P124" s="482"/>
      <c r="Q124" s="484"/>
      <c r="S124" s="130"/>
      <c r="T124" s="130"/>
    </row>
    <row r="125" spans="1:20" ht="15.75">
      <c r="A125" s="393"/>
      <c r="B125" s="424"/>
      <c r="C125" s="432"/>
      <c r="D125" s="390"/>
      <c r="I125" s="425"/>
      <c r="J125" s="425"/>
      <c r="K125" s="425"/>
      <c r="L125" s="467"/>
      <c r="M125" s="467"/>
      <c r="N125" s="468"/>
      <c r="O125" s="470"/>
      <c r="P125" s="482"/>
      <c r="Q125" s="484"/>
      <c r="S125" s="130"/>
      <c r="T125" s="130"/>
    </row>
    <row r="126" spans="1:20" ht="13.5" thickBot="1">
      <c r="A126" s="393">
        <v>3</v>
      </c>
      <c r="B126" s="390"/>
      <c r="C126" s="390"/>
      <c r="D126" s="390"/>
      <c r="I126" s="425"/>
      <c r="J126" s="425"/>
      <c r="K126" s="425">
        <f>I126*J126</f>
        <v>0</v>
      </c>
      <c r="L126" s="467"/>
      <c r="M126" s="467"/>
      <c r="N126" s="468"/>
      <c r="O126" s="469"/>
      <c r="P126" s="482"/>
      <c r="Q126" s="483"/>
      <c r="S126" s="16"/>
      <c r="T126" s="16"/>
    </row>
    <row r="127" spans="1:23" ht="13.5" thickBot="1">
      <c r="A127" s="395"/>
      <c r="B127" s="388" t="s">
        <v>15</v>
      </c>
      <c r="C127" s="388"/>
      <c r="D127" s="398"/>
      <c r="E127" s="398"/>
      <c r="F127" s="398"/>
      <c r="G127" s="398"/>
      <c r="H127" s="428"/>
      <c r="I127" s="381">
        <f>SUM(I128:I143)</f>
        <v>0</v>
      </c>
      <c r="J127" s="381"/>
      <c r="K127" s="381">
        <f>SUM(K128:K143)</f>
        <v>0</v>
      </c>
      <c r="L127" s="436">
        <f>SUM(L128:L143)</f>
        <v>3.3</v>
      </c>
      <c r="M127" s="436">
        <f>SUM(M128:M143)</f>
        <v>3.138</v>
      </c>
      <c r="N127" s="471">
        <f>SUM(N128:N143)</f>
        <v>0</v>
      </c>
      <c r="O127" s="471">
        <f>SUM(O128:O143)</f>
        <v>0</v>
      </c>
      <c r="P127" s="502"/>
      <c r="Q127" s="503">
        <f>SUM(Q128:Q143)</f>
        <v>0</v>
      </c>
      <c r="R127" s="496"/>
      <c r="S127" s="17"/>
      <c r="T127" s="17"/>
      <c r="U127" s="47"/>
      <c r="V127" s="47"/>
      <c r="W127" s="47"/>
    </row>
    <row r="128" spans="1:25" ht="15.75">
      <c r="A128" s="393">
        <v>1</v>
      </c>
      <c r="B128" s="424" t="s">
        <v>443</v>
      </c>
      <c r="C128" s="390"/>
      <c r="D128" s="432"/>
      <c r="I128" s="425"/>
      <c r="J128" s="425"/>
      <c r="K128" s="425"/>
      <c r="L128" s="467"/>
      <c r="M128" s="467"/>
      <c r="N128" s="468"/>
      <c r="O128" s="469"/>
      <c r="P128" s="482"/>
      <c r="Q128" s="483"/>
      <c r="R128" s="496"/>
      <c r="S128" s="17"/>
      <c r="T128" s="17"/>
      <c r="U128" s="17"/>
      <c r="V128" s="17"/>
      <c r="W128" s="17"/>
      <c r="X128" s="16"/>
      <c r="Y128" s="16"/>
    </row>
    <row r="129" spans="1:25" ht="12.75">
      <c r="A129" s="393"/>
      <c r="B129" s="432"/>
      <c r="C129" s="390" t="s">
        <v>566</v>
      </c>
      <c r="D129" s="432"/>
      <c r="I129" s="425">
        <f>'A.RAPIDO'!K5</f>
        <v>0</v>
      </c>
      <c r="J129" s="425">
        <v>1</v>
      </c>
      <c r="K129" s="425">
        <f>J129*(I129)</f>
        <v>0</v>
      </c>
      <c r="L129" s="467">
        <f>$L$79</f>
        <v>0.09</v>
      </c>
      <c r="M129" s="467">
        <f>$C$22</f>
        <v>0.16666666666666666</v>
      </c>
      <c r="N129" s="468">
        <f>K129*L129*M129</f>
        <v>0</v>
      </c>
      <c r="O129" s="469"/>
      <c r="P129" s="482">
        <v>4</v>
      </c>
      <c r="Q129" s="483">
        <f>K129*P129</f>
        <v>0</v>
      </c>
      <c r="R129" s="487"/>
      <c r="S129" s="48"/>
      <c r="T129" s="48"/>
      <c r="U129" s="48"/>
      <c r="V129" s="48"/>
      <c r="W129" s="48"/>
      <c r="X129" s="16"/>
      <c r="Y129" s="16"/>
    </row>
    <row r="130" spans="1:25" ht="12.75">
      <c r="A130" s="393"/>
      <c r="B130" s="432"/>
      <c r="C130" s="390" t="s">
        <v>563</v>
      </c>
      <c r="D130" s="432"/>
      <c r="I130" s="425">
        <f>'A.RAPIDO'!K6</f>
        <v>0</v>
      </c>
      <c r="J130" s="425">
        <v>1</v>
      </c>
      <c r="K130" s="425">
        <f>J130*(I130)</f>
        <v>0</v>
      </c>
      <c r="L130" s="467">
        <f>$L$79</f>
        <v>0.09</v>
      </c>
      <c r="M130" s="467">
        <f>$C$22</f>
        <v>0.16666666666666666</v>
      </c>
      <c r="N130" s="468">
        <f>K130*L130*M130</f>
        <v>0</v>
      </c>
      <c r="O130" s="469"/>
      <c r="P130" s="482">
        <v>4</v>
      </c>
      <c r="Q130" s="483">
        <f>K130*P130</f>
        <v>0</v>
      </c>
      <c r="R130" s="487"/>
      <c r="S130" s="48"/>
      <c r="T130" s="48"/>
      <c r="U130" s="48"/>
      <c r="V130" s="48"/>
      <c r="W130" s="48"/>
      <c r="X130" s="16"/>
      <c r="Y130" s="16"/>
    </row>
    <row r="131" spans="1:25" ht="12.75">
      <c r="A131" s="393"/>
      <c r="B131" s="432"/>
      <c r="C131" s="432" t="s">
        <v>492</v>
      </c>
      <c r="D131" s="432"/>
      <c r="I131" s="425">
        <f>'A.RAPIDO'!K8</f>
        <v>0</v>
      </c>
      <c r="J131" s="425">
        <v>1</v>
      </c>
      <c r="K131" s="425">
        <f>J131*(I131)</f>
        <v>0</v>
      </c>
      <c r="L131" s="467">
        <f>$L$79</f>
        <v>0.09</v>
      </c>
      <c r="M131" s="467">
        <f>$C$22</f>
        <v>0.16666666666666666</v>
      </c>
      <c r="N131" s="468">
        <f>K131*L131*M131</f>
        <v>0</v>
      </c>
      <c r="O131" s="470">
        <f>N131</f>
        <v>0</v>
      </c>
      <c r="P131" s="482">
        <v>4</v>
      </c>
      <c r="Q131" s="483">
        <f>K131*P131</f>
        <v>0</v>
      </c>
      <c r="R131" s="487"/>
      <c r="S131" s="48"/>
      <c r="T131" s="48"/>
      <c r="U131" s="48"/>
      <c r="V131" s="48"/>
      <c r="W131" s="48"/>
      <c r="X131" s="16"/>
      <c r="Y131" s="16"/>
    </row>
    <row r="132" spans="1:25" ht="12.75">
      <c r="A132" s="393"/>
      <c r="B132" s="432"/>
      <c r="C132" s="432" t="s">
        <v>504</v>
      </c>
      <c r="D132" s="432"/>
      <c r="I132" s="425">
        <f>'A.RAPIDO'!K10+'A.RAPIDO'!K11</f>
        <v>0</v>
      </c>
      <c r="J132" s="425">
        <v>2</v>
      </c>
      <c r="K132" s="425">
        <f>J132*(I132)</f>
        <v>0</v>
      </c>
      <c r="L132" s="467">
        <f>L41</f>
        <v>0.83</v>
      </c>
      <c r="M132" s="467">
        <f>$C$15</f>
        <v>0.546</v>
      </c>
      <c r="N132" s="468">
        <f>K132*L132*M132</f>
        <v>0</v>
      </c>
      <c r="O132" s="470">
        <f>N132</f>
        <v>0</v>
      </c>
      <c r="P132" s="482">
        <v>1</v>
      </c>
      <c r="Q132" s="483">
        <f>K132*P132</f>
        <v>0</v>
      </c>
      <c r="R132" s="487"/>
      <c r="S132" s="48"/>
      <c r="T132" s="48"/>
      <c r="U132" s="48"/>
      <c r="V132" s="48"/>
      <c r="W132" s="48"/>
      <c r="X132" s="16"/>
      <c r="Y132" s="16"/>
    </row>
    <row r="133" spans="1:25" ht="15.75">
      <c r="A133" s="393">
        <v>2</v>
      </c>
      <c r="B133" s="424" t="s">
        <v>444</v>
      </c>
      <c r="C133" s="390"/>
      <c r="D133" s="390"/>
      <c r="I133" s="425"/>
      <c r="J133" s="425"/>
      <c r="K133" s="425"/>
      <c r="L133" s="467"/>
      <c r="M133" s="467"/>
      <c r="N133" s="468"/>
      <c r="O133" s="469"/>
      <c r="P133" s="482"/>
      <c r="Q133" s="483"/>
      <c r="R133" s="487"/>
      <c r="S133" s="48"/>
      <c r="T133" s="48"/>
      <c r="U133" s="49"/>
      <c r="V133" s="48"/>
      <c r="W133" s="48"/>
      <c r="X133" s="16"/>
      <c r="Y133" s="16"/>
    </row>
    <row r="134" spans="1:25" ht="15.75">
      <c r="A134" s="393"/>
      <c r="B134" s="424"/>
      <c r="C134" s="390" t="s">
        <v>576</v>
      </c>
      <c r="D134" s="390"/>
      <c r="I134" s="425">
        <f>'A.RAPIDO'!K16</f>
        <v>0</v>
      </c>
      <c r="J134" s="425">
        <v>1</v>
      </c>
      <c r="K134" s="425">
        <f aca="true" t="shared" si="26" ref="K134:K141">J134*(I134)</f>
        <v>0</v>
      </c>
      <c r="L134" s="467">
        <f>$L$79</f>
        <v>0.09</v>
      </c>
      <c r="M134" s="467">
        <f>M129</f>
        <v>0.16666666666666666</v>
      </c>
      <c r="N134" s="468">
        <f aca="true" t="shared" si="27" ref="N134:N141">K134*L134*M134</f>
        <v>0</v>
      </c>
      <c r="O134" s="469"/>
      <c r="P134" s="482">
        <v>4</v>
      </c>
      <c r="Q134" s="483">
        <f aca="true" t="shared" si="28" ref="Q134:Q141">K134*P134</f>
        <v>0</v>
      </c>
      <c r="R134" s="487"/>
      <c r="S134" s="48"/>
      <c r="T134" s="48"/>
      <c r="U134" s="49"/>
      <c r="V134" s="48"/>
      <c r="W134" s="48"/>
      <c r="X134" s="16"/>
      <c r="Y134" s="16"/>
    </row>
    <row r="135" spans="1:25" ht="15.75">
      <c r="A135" s="393"/>
      <c r="B135" s="424"/>
      <c r="C135" s="390" t="s">
        <v>563</v>
      </c>
      <c r="D135" s="390"/>
      <c r="I135" s="425">
        <f>'A.RAPIDO'!K17</f>
        <v>0</v>
      </c>
      <c r="J135" s="425">
        <v>1</v>
      </c>
      <c r="K135" s="425">
        <f t="shared" si="26"/>
        <v>0</v>
      </c>
      <c r="L135" s="467">
        <f>$L$79</f>
        <v>0.09</v>
      </c>
      <c r="M135" s="467">
        <f>M130</f>
        <v>0.16666666666666666</v>
      </c>
      <c r="N135" s="468">
        <f t="shared" si="27"/>
        <v>0</v>
      </c>
      <c r="O135" s="469"/>
      <c r="P135" s="482">
        <v>4</v>
      </c>
      <c r="Q135" s="483">
        <f t="shared" si="28"/>
        <v>0</v>
      </c>
      <c r="R135" s="487"/>
      <c r="S135" s="48"/>
      <c r="T135" s="48"/>
      <c r="U135" s="49"/>
      <c r="V135" s="48"/>
      <c r="W135" s="48"/>
      <c r="X135" s="16"/>
      <c r="Y135" s="16"/>
    </row>
    <row r="136" spans="1:25" ht="15.75">
      <c r="A136" s="393"/>
      <c r="B136" s="424"/>
      <c r="C136" s="432" t="s">
        <v>492</v>
      </c>
      <c r="D136" s="390"/>
      <c r="I136" s="425">
        <f>'A.RAPIDO'!K19</f>
        <v>0</v>
      </c>
      <c r="J136" s="425">
        <v>1</v>
      </c>
      <c r="K136" s="425">
        <f t="shared" si="26"/>
        <v>0</v>
      </c>
      <c r="L136" s="467">
        <f>$L$79</f>
        <v>0.09</v>
      </c>
      <c r="M136" s="467">
        <f>M131</f>
        <v>0.16666666666666666</v>
      </c>
      <c r="N136" s="468">
        <f t="shared" si="27"/>
        <v>0</v>
      </c>
      <c r="O136" s="470">
        <f>N136</f>
        <v>0</v>
      </c>
      <c r="P136" s="482">
        <v>4</v>
      </c>
      <c r="Q136" s="483">
        <f t="shared" si="28"/>
        <v>0</v>
      </c>
      <c r="R136" s="487"/>
      <c r="S136" s="48"/>
      <c r="T136" s="48"/>
      <c r="U136" s="49"/>
      <c r="V136" s="48"/>
      <c r="W136" s="48"/>
      <c r="X136" s="16"/>
      <c r="Y136" s="16"/>
    </row>
    <row r="137" spans="1:25" ht="15.75">
      <c r="A137" s="393"/>
      <c r="B137" s="424"/>
      <c r="C137" s="432" t="s">
        <v>504</v>
      </c>
      <c r="D137" s="390"/>
      <c r="I137" s="425">
        <f>'A.RAPIDO'!K21+'A.RAPIDO'!K22</f>
        <v>0</v>
      </c>
      <c r="J137" s="425">
        <v>2</v>
      </c>
      <c r="K137" s="425">
        <f t="shared" si="26"/>
        <v>0</v>
      </c>
      <c r="L137" s="467">
        <f>L132</f>
        <v>0.83</v>
      </c>
      <c r="M137" s="467">
        <f>$C$15</f>
        <v>0.546</v>
      </c>
      <c r="N137" s="468">
        <f t="shared" si="27"/>
        <v>0</v>
      </c>
      <c r="O137" s="470">
        <f>N137</f>
        <v>0</v>
      </c>
      <c r="P137" s="482">
        <v>1</v>
      </c>
      <c r="Q137" s="483">
        <f t="shared" si="28"/>
        <v>0</v>
      </c>
      <c r="R137" s="487"/>
      <c r="S137" s="48"/>
      <c r="T137" s="48"/>
      <c r="U137" s="49"/>
      <c r="V137" s="48"/>
      <c r="W137" s="48"/>
      <c r="X137" s="16"/>
      <c r="Y137" s="16"/>
    </row>
    <row r="138" spans="1:25" ht="15.75">
      <c r="A138" s="393"/>
      <c r="B138" s="424"/>
      <c r="C138" s="111" t="s">
        <v>576</v>
      </c>
      <c r="D138" s="390"/>
      <c r="I138" s="425">
        <f>'A.RAPIDO'!L16</f>
        <v>0</v>
      </c>
      <c r="J138" s="425">
        <v>1</v>
      </c>
      <c r="K138" s="425">
        <f t="shared" si="26"/>
        <v>0</v>
      </c>
      <c r="L138" s="467">
        <f>$L$79</f>
        <v>0.09</v>
      </c>
      <c r="M138" s="467">
        <f>M134</f>
        <v>0.16666666666666666</v>
      </c>
      <c r="N138" s="468">
        <f t="shared" si="27"/>
        <v>0</v>
      </c>
      <c r="O138" s="469"/>
      <c r="P138" s="482">
        <v>4</v>
      </c>
      <c r="Q138" s="483">
        <f t="shared" si="28"/>
        <v>0</v>
      </c>
      <c r="R138" s="487"/>
      <c r="S138" s="48"/>
      <c r="T138" s="48"/>
      <c r="U138" s="49"/>
      <c r="V138" s="48"/>
      <c r="W138" s="48"/>
      <c r="X138" s="16"/>
      <c r="Y138" s="16"/>
    </row>
    <row r="139" spans="1:25" ht="15.75">
      <c r="A139" s="393"/>
      <c r="B139" s="424"/>
      <c r="C139" s="111" t="s">
        <v>563</v>
      </c>
      <c r="D139" s="390"/>
      <c r="I139" s="425">
        <f>'A.RAPIDO'!L17</f>
        <v>0</v>
      </c>
      <c r="J139" s="425">
        <v>1</v>
      </c>
      <c r="K139" s="425">
        <f t="shared" si="26"/>
        <v>0</v>
      </c>
      <c r="L139" s="467">
        <f>$L$79</f>
        <v>0.09</v>
      </c>
      <c r="M139" s="467">
        <f>M135</f>
        <v>0.16666666666666666</v>
      </c>
      <c r="N139" s="468">
        <f t="shared" si="27"/>
        <v>0</v>
      </c>
      <c r="O139" s="469"/>
      <c r="P139" s="482">
        <v>4</v>
      </c>
      <c r="Q139" s="483">
        <f t="shared" si="28"/>
        <v>0</v>
      </c>
      <c r="R139" s="487"/>
      <c r="S139" s="48"/>
      <c r="T139" s="48"/>
      <c r="U139" s="49"/>
      <c r="V139" s="48"/>
      <c r="W139" s="48"/>
      <c r="X139" s="16"/>
      <c r="Y139" s="16"/>
    </row>
    <row r="140" spans="1:25" ht="15.75">
      <c r="A140" s="393"/>
      <c r="B140" s="424"/>
      <c r="C140" s="111" t="s">
        <v>492</v>
      </c>
      <c r="D140" s="390"/>
      <c r="I140" s="425">
        <f>'A.RAPIDO'!L19</f>
        <v>0</v>
      </c>
      <c r="J140" s="425">
        <v>1</v>
      </c>
      <c r="K140" s="425">
        <f t="shared" si="26"/>
        <v>0</v>
      </c>
      <c r="L140" s="467">
        <f>$L$79</f>
        <v>0.09</v>
      </c>
      <c r="M140" s="467">
        <f>M136</f>
        <v>0.16666666666666666</v>
      </c>
      <c r="N140" s="468">
        <f t="shared" si="27"/>
        <v>0</v>
      </c>
      <c r="O140" s="470">
        <f>N140</f>
        <v>0</v>
      </c>
      <c r="P140" s="482">
        <v>4</v>
      </c>
      <c r="Q140" s="483">
        <f t="shared" si="28"/>
        <v>0</v>
      </c>
      <c r="R140" s="487"/>
      <c r="S140" s="48"/>
      <c r="T140" s="48"/>
      <c r="U140" s="49"/>
      <c r="V140" s="48"/>
      <c r="W140" s="48"/>
      <c r="X140" s="16"/>
      <c r="Y140" s="16"/>
    </row>
    <row r="141" spans="1:25" ht="15.75">
      <c r="A141" s="393"/>
      <c r="B141" s="424"/>
      <c r="C141" s="111" t="s">
        <v>504</v>
      </c>
      <c r="D141" s="390"/>
      <c r="I141" s="425">
        <f>'A.RAPIDO'!L21+'A.RAPIDO'!L22</f>
        <v>0</v>
      </c>
      <c r="J141" s="425">
        <v>3</v>
      </c>
      <c r="K141" s="425">
        <f t="shared" si="26"/>
        <v>0</v>
      </c>
      <c r="L141" s="467">
        <f>L132</f>
        <v>0.83</v>
      </c>
      <c r="M141" s="467">
        <f>M137</f>
        <v>0.546</v>
      </c>
      <c r="N141" s="468">
        <f t="shared" si="27"/>
        <v>0</v>
      </c>
      <c r="O141" s="470">
        <f>N141</f>
        <v>0</v>
      </c>
      <c r="P141" s="482">
        <v>1</v>
      </c>
      <c r="Q141" s="483">
        <f t="shared" si="28"/>
        <v>0</v>
      </c>
      <c r="R141" s="487"/>
      <c r="S141" s="48"/>
      <c r="T141" s="48"/>
      <c r="U141" s="49"/>
      <c r="V141" s="48"/>
      <c r="W141" s="48"/>
      <c r="X141" s="16"/>
      <c r="Y141" s="16"/>
    </row>
    <row r="142" spans="1:25" ht="15.75">
      <c r="A142" s="393"/>
      <c r="B142" s="424"/>
      <c r="C142" s="390"/>
      <c r="D142" s="390"/>
      <c r="I142" s="425"/>
      <c r="J142" s="425"/>
      <c r="K142" s="425"/>
      <c r="L142" s="467"/>
      <c r="M142" s="467"/>
      <c r="N142" s="468"/>
      <c r="O142" s="469"/>
      <c r="P142" s="482"/>
      <c r="Q142" s="483"/>
      <c r="R142" s="487"/>
      <c r="S142" s="48"/>
      <c r="T142" s="48"/>
      <c r="U142" s="49"/>
      <c r="V142" s="48"/>
      <c r="W142" s="48"/>
      <c r="X142" s="16"/>
      <c r="Y142" s="16"/>
    </row>
    <row r="143" spans="1:25" ht="13.5" thickBot="1">
      <c r="A143" s="393">
        <v>3</v>
      </c>
      <c r="B143" s="390"/>
      <c r="C143" s="390"/>
      <c r="D143" s="390"/>
      <c r="I143" s="425"/>
      <c r="J143" s="425"/>
      <c r="K143" s="425">
        <f>J143*(I143)</f>
        <v>0</v>
      </c>
      <c r="L143" s="467"/>
      <c r="M143" s="467"/>
      <c r="N143" s="468"/>
      <c r="O143" s="469"/>
      <c r="P143" s="482"/>
      <c r="Q143" s="483"/>
      <c r="R143" s="487"/>
      <c r="S143" s="48"/>
      <c r="T143" s="48"/>
      <c r="U143" s="48"/>
      <c r="V143" s="48"/>
      <c r="W143" s="48"/>
      <c r="X143" s="16"/>
      <c r="Y143" s="16"/>
    </row>
    <row r="144" spans="1:25" ht="13.5" thickBot="1">
      <c r="A144" s="389"/>
      <c r="B144" s="388" t="s">
        <v>16</v>
      </c>
      <c r="C144" s="398"/>
      <c r="D144" s="398"/>
      <c r="E144" s="398"/>
      <c r="F144" s="398"/>
      <c r="G144" s="398"/>
      <c r="H144" s="428"/>
      <c r="I144" s="381">
        <f>SUM(I145:I154)</f>
        <v>0</v>
      </c>
      <c r="J144" s="381"/>
      <c r="K144" s="381">
        <f>SUM(K145:K154)</f>
        <v>0</v>
      </c>
      <c r="L144" s="436">
        <f>SUM(L145:L154)</f>
        <v>6.4</v>
      </c>
      <c r="M144" s="436">
        <f>SUM(M145:M154)</f>
        <v>1.712666666666667</v>
      </c>
      <c r="N144" s="471">
        <f>SUM(N145:N154)</f>
        <v>0</v>
      </c>
      <c r="O144" s="471">
        <f>SUM(O145:O154)</f>
        <v>0</v>
      </c>
      <c r="P144" s="502"/>
      <c r="Q144" s="503">
        <f>SUM(Q145:Q154)</f>
        <v>0</v>
      </c>
      <c r="R144" s="487"/>
      <c r="S144" s="48"/>
      <c r="T144" s="48"/>
      <c r="U144" s="48"/>
      <c r="V144" s="48"/>
      <c r="W144" s="48"/>
      <c r="X144" s="16"/>
      <c r="Y144" s="16"/>
    </row>
    <row r="145" spans="1:25" ht="15.75">
      <c r="A145" s="393">
        <v>1</v>
      </c>
      <c r="B145" s="424" t="s">
        <v>447</v>
      </c>
      <c r="C145" s="390"/>
      <c r="D145" s="390"/>
      <c r="I145" s="425"/>
      <c r="J145" s="425"/>
      <c r="K145" s="425"/>
      <c r="L145" s="467"/>
      <c r="M145" s="467"/>
      <c r="N145" s="472"/>
      <c r="O145" s="469"/>
      <c r="P145" s="482"/>
      <c r="Q145" s="483"/>
      <c r="R145" s="487"/>
      <c r="S145" s="48"/>
      <c r="T145" s="48"/>
      <c r="U145" s="48"/>
      <c r="V145" s="48"/>
      <c r="W145" s="48"/>
      <c r="X145" s="16"/>
      <c r="Y145" s="16"/>
    </row>
    <row r="146" spans="1:25" ht="12.75">
      <c r="A146" s="393"/>
      <c r="B146" s="390"/>
      <c r="C146" s="390" t="s">
        <v>537</v>
      </c>
      <c r="D146" s="390"/>
      <c r="I146" s="425">
        <f>'A.PESADO'!K5</f>
        <v>0</v>
      </c>
      <c r="J146" s="425">
        <v>1</v>
      </c>
      <c r="K146" s="425">
        <f aca="true" t="shared" si="29" ref="K146:K154">J146*(I146)</f>
        <v>0</v>
      </c>
      <c r="L146" s="467">
        <f>$L$74</f>
        <v>0.09</v>
      </c>
      <c r="M146" s="468">
        <f>$C$22</f>
        <v>0.16666666666666666</v>
      </c>
      <c r="N146" s="425">
        <f aca="true" t="shared" si="30" ref="N146:N153">K146*L146*M146</f>
        <v>0</v>
      </c>
      <c r="O146" s="469"/>
      <c r="P146" s="482">
        <v>4</v>
      </c>
      <c r="Q146" s="483">
        <f aca="true" t="shared" si="31" ref="Q146:Q153">K146*P146</f>
        <v>0</v>
      </c>
      <c r="R146" s="488"/>
      <c r="S146" s="48"/>
      <c r="T146" s="48"/>
      <c r="U146" s="48"/>
      <c r="V146" s="48"/>
      <c r="W146" s="48"/>
      <c r="X146" s="16"/>
      <c r="Y146" s="16"/>
    </row>
    <row r="147" spans="1:25" ht="12.75">
      <c r="A147" s="393"/>
      <c r="B147" s="390"/>
      <c r="C147" s="390" t="s">
        <v>536</v>
      </c>
      <c r="D147" s="390"/>
      <c r="I147" s="425">
        <f>'A.PESADO'!K6</f>
        <v>0</v>
      </c>
      <c r="J147" s="425">
        <v>1</v>
      </c>
      <c r="K147" s="425">
        <f t="shared" si="29"/>
        <v>0</v>
      </c>
      <c r="L147" s="467">
        <f>$L$74</f>
        <v>0.09</v>
      </c>
      <c r="M147" s="468">
        <f>$C$22</f>
        <v>0.16666666666666666</v>
      </c>
      <c r="N147" s="425">
        <f t="shared" si="30"/>
        <v>0</v>
      </c>
      <c r="O147" s="469"/>
      <c r="P147" s="482">
        <v>4</v>
      </c>
      <c r="Q147" s="483">
        <f t="shared" si="31"/>
        <v>0</v>
      </c>
      <c r="R147" s="487"/>
      <c r="S147" s="48"/>
      <c r="T147" s="48"/>
      <c r="U147" s="50"/>
      <c r="V147" s="48"/>
      <c r="W147" s="48"/>
      <c r="X147" s="16"/>
      <c r="Y147" s="16"/>
    </row>
    <row r="148" spans="1:25" ht="12.75">
      <c r="A148" s="393"/>
      <c r="B148" s="390"/>
      <c r="C148" s="368" t="s">
        <v>535</v>
      </c>
      <c r="D148" s="390"/>
      <c r="I148" s="425">
        <f>'A.PESADO'!K8</f>
        <v>0</v>
      </c>
      <c r="J148" s="425">
        <v>1</v>
      </c>
      <c r="K148" s="425">
        <f t="shared" si="29"/>
        <v>0</v>
      </c>
      <c r="L148" s="467">
        <f>$L$74</f>
        <v>0.09</v>
      </c>
      <c r="M148" s="468">
        <f>$C$22</f>
        <v>0.16666666666666666</v>
      </c>
      <c r="N148" s="425">
        <f t="shared" si="30"/>
        <v>0</v>
      </c>
      <c r="O148" s="469"/>
      <c r="P148" s="482">
        <v>4</v>
      </c>
      <c r="Q148" s="483">
        <f t="shared" si="31"/>
        <v>0</v>
      </c>
      <c r="R148" s="487"/>
      <c r="S148" s="48"/>
      <c r="T148" s="48"/>
      <c r="U148" s="50"/>
      <c r="V148" s="48"/>
      <c r="W148" s="48"/>
      <c r="X148" s="16"/>
      <c r="Y148" s="16"/>
    </row>
    <row r="149" spans="1:25" ht="12.75">
      <c r="A149" s="393"/>
      <c r="B149" s="390"/>
      <c r="C149" s="432" t="s">
        <v>492</v>
      </c>
      <c r="D149" s="390"/>
      <c r="I149" s="425">
        <f>'A.PESADO'!K12</f>
        <v>0</v>
      </c>
      <c r="J149" s="425">
        <v>1</v>
      </c>
      <c r="K149" s="425">
        <f t="shared" si="29"/>
        <v>0</v>
      </c>
      <c r="L149" s="467">
        <f>$L$74</f>
        <v>0.09</v>
      </c>
      <c r="M149" s="468">
        <f>$C$22</f>
        <v>0.16666666666666666</v>
      </c>
      <c r="N149" s="425">
        <f t="shared" si="30"/>
        <v>0</v>
      </c>
      <c r="O149" s="469">
        <f>N149</f>
        <v>0</v>
      </c>
      <c r="P149" s="482">
        <v>4</v>
      </c>
      <c r="Q149" s="483">
        <f t="shared" si="31"/>
        <v>0</v>
      </c>
      <c r="R149" s="487"/>
      <c r="S149" s="48"/>
      <c r="T149" s="48"/>
      <c r="U149" s="50"/>
      <c r="V149" s="48"/>
      <c r="W149" s="48"/>
      <c r="X149" s="16"/>
      <c r="Y149" s="16"/>
    </row>
    <row r="150" spans="1:25" ht="12.75">
      <c r="A150" s="393"/>
      <c r="B150" s="390"/>
      <c r="C150" s="432" t="s">
        <v>504</v>
      </c>
      <c r="D150" s="390"/>
      <c r="I150" s="425">
        <f>'A.PESADO'!K14+'A.PESADO'!K15</f>
        <v>0</v>
      </c>
      <c r="J150" s="425">
        <v>2</v>
      </c>
      <c r="K150" s="425">
        <f t="shared" si="29"/>
        <v>0</v>
      </c>
      <c r="L150" s="467">
        <f>L141</f>
        <v>0.83</v>
      </c>
      <c r="M150" s="468">
        <f>$C$15</f>
        <v>0.546</v>
      </c>
      <c r="N150" s="425">
        <f t="shared" si="30"/>
        <v>0</v>
      </c>
      <c r="O150" s="469">
        <f>N150</f>
        <v>0</v>
      </c>
      <c r="P150" s="482">
        <v>1</v>
      </c>
      <c r="Q150" s="483">
        <f t="shared" si="31"/>
        <v>0</v>
      </c>
      <c r="R150" s="487"/>
      <c r="S150" s="48"/>
      <c r="T150" s="48"/>
      <c r="U150" s="50"/>
      <c r="V150" s="48"/>
      <c r="W150" s="48"/>
      <c r="X150" s="16"/>
      <c r="Y150" s="16"/>
    </row>
    <row r="151" spans="1:25" ht="12.75">
      <c r="A151" s="393"/>
      <c r="B151" s="390"/>
      <c r="C151" s="432" t="s">
        <v>266</v>
      </c>
      <c r="D151" s="390"/>
      <c r="I151" s="425">
        <f>'A.PESADO'!K10</f>
        <v>0</v>
      </c>
      <c r="J151" s="425">
        <v>1</v>
      </c>
      <c r="K151" s="425">
        <f t="shared" si="29"/>
        <v>0</v>
      </c>
      <c r="L151" s="467">
        <f>$L$74</f>
        <v>0.09</v>
      </c>
      <c r="M151" s="468">
        <f>M149</f>
        <v>0.16666666666666666</v>
      </c>
      <c r="N151" s="425">
        <f t="shared" si="30"/>
        <v>0</v>
      </c>
      <c r="O151" s="469">
        <f>N151</f>
        <v>0</v>
      </c>
      <c r="P151" s="482">
        <v>4</v>
      </c>
      <c r="Q151" s="483">
        <f t="shared" si="31"/>
        <v>0</v>
      </c>
      <c r="R151" s="487"/>
      <c r="S151" s="48"/>
      <c r="T151" s="48"/>
      <c r="U151" s="50"/>
      <c r="V151" s="48"/>
      <c r="W151" s="48"/>
      <c r="X151" s="16"/>
      <c r="Y151" s="16"/>
    </row>
    <row r="152" spans="1:25" ht="12.75">
      <c r="A152" s="393"/>
      <c r="B152" s="390"/>
      <c r="C152" s="432" t="s">
        <v>583</v>
      </c>
      <c r="D152" s="390"/>
      <c r="I152" s="425">
        <f>'CUARTEL GENERAL'!K94+'CUARTEL GENERAL'!K95+'CUARTEL GENERAL'!K98+'CUARTEL GENERAL'!K99+'CUARTEL GENERAL'!L94+'CUARTEL GENERAL'!L95+'CUARTEL GENERAL'!L98+'CUARTEL GENERAL'!L99+LINEA!K7+LINEA!K9+LINEA!K11+ELITE!K37+ELITE!K39+ELITE!K41+ELITE!K47+ELITE!K49+ELITE!K51+ELITE!K53+ELITE!K57+ELITE!K59+'A.RAPIDO'!K7+'A.RAPIDO'!K9+'A.RAPIDO'!K18+'A.RAPIDO'!K20+'A.RAPIDO'!L18+'A.RAPIDO'!L20+'A.PESADO'!K7+'A.PESADO'!K9+'A.PESADO'!K11+'A.PESADO'!K13</f>
        <v>0</v>
      </c>
      <c r="J152" s="425">
        <v>1</v>
      </c>
      <c r="K152" s="425">
        <f t="shared" si="29"/>
        <v>0</v>
      </c>
      <c r="L152" s="467">
        <f>M12</f>
        <v>2.56</v>
      </c>
      <c r="M152" s="468">
        <f>C22</f>
        <v>0.16666666666666666</v>
      </c>
      <c r="N152" s="425">
        <f t="shared" si="30"/>
        <v>0</v>
      </c>
      <c r="O152" s="469"/>
      <c r="P152" s="482">
        <v>4</v>
      </c>
      <c r="Q152" s="483">
        <f t="shared" si="31"/>
        <v>0</v>
      </c>
      <c r="R152" s="487"/>
      <c r="S152" s="48"/>
      <c r="T152" s="48"/>
      <c r="U152" s="50"/>
      <c r="V152" s="48"/>
      <c r="W152" s="48"/>
      <c r="X152" s="16"/>
      <c r="Y152" s="16"/>
    </row>
    <row r="153" spans="1:25" ht="12.75">
      <c r="A153" s="393"/>
      <c r="B153" s="390"/>
      <c r="C153" s="432" t="s">
        <v>584</v>
      </c>
      <c r="D153" s="390"/>
      <c r="I153" s="425">
        <f>'CUARTEL GENERAL'!K28+'CUARTEL GENERAL'!K30+'CUARTEL GENERAL'!K34+'CUARTEL GENERAL'!K36+'CUARTEL GENERAL'!L28+'CUARTEL GENERAL'!L30+'CUARTEL GENERAL'!L34+'CUARTEL GENERAL'!L36+'CUARTEL GENERAL'!K41+'CUARTEL GENERAL'!L41+'CUARTEL GENERAL'!K58+'CUARTEL GENERAL'!L58+'CUARTEL GENERAL'!K74+'CUARTEL GENERAL'!L74</f>
        <v>0</v>
      </c>
      <c r="J153" s="425">
        <v>1</v>
      </c>
      <c r="K153" s="425">
        <f t="shared" si="29"/>
        <v>0</v>
      </c>
      <c r="L153" s="467">
        <f>L152</f>
        <v>2.56</v>
      </c>
      <c r="M153" s="468">
        <f>C22</f>
        <v>0.16666666666666666</v>
      </c>
      <c r="N153" s="425">
        <f t="shared" si="30"/>
        <v>0</v>
      </c>
      <c r="O153" s="469"/>
      <c r="P153" s="482">
        <v>5</v>
      </c>
      <c r="Q153" s="483">
        <f t="shared" si="31"/>
        <v>0</v>
      </c>
      <c r="R153" s="487"/>
      <c r="S153" s="48"/>
      <c r="T153" s="48"/>
      <c r="U153" s="50"/>
      <c r="V153" s="48"/>
      <c r="W153" s="48"/>
      <c r="X153" s="16"/>
      <c r="Y153" s="16"/>
    </row>
    <row r="154" spans="1:25" ht="13.5" thickBot="1">
      <c r="A154" s="393">
        <v>3</v>
      </c>
      <c r="B154" s="390"/>
      <c r="C154" s="390"/>
      <c r="D154" s="390"/>
      <c r="I154" s="425"/>
      <c r="J154" s="425"/>
      <c r="K154" s="425">
        <f t="shared" si="29"/>
        <v>0</v>
      </c>
      <c r="L154" s="467"/>
      <c r="M154" s="467"/>
      <c r="N154" s="473"/>
      <c r="O154" s="469"/>
      <c r="P154" s="482"/>
      <c r="Q154" s="483"/>
      <c r="R154" s="487"/>
      <c r="S154" s="48"/>
      <c r="T154" s="48"/>
      <c r="U154" s="50"/>
      <c r="V154" s="48"/>
      <c r="W154" s="48"/>
      <c r="X154" s="16"/>
      <c r="Y154" s="16"/>
    </row>
    <row r="155" spans="1:25" ht="13.5" thickBot="1">
      <c r="A155" s="389"/>
      <c r="B155" s="388" t="s">
        <v>18</v>
      </c>
      <c r="C155" s="398"/>
      <c r="D155" s="398"/>
      <c r="E155" s="398"/>
      <c r="F155" s="398"/>
      <c r="G155" s="398"/>
      <c r="H155" s="428"/>
      <c r="I155" s="381">
        <f>SUM(I156:I161)</f>
        <v>0</v>
      </c>
      <c r="J155" s="381"/>
      <c r="K155" s="381">
        <f>SUM(K156:K161)</f>
        <v>0</v>
      </c>
      <c r="L155" s="436">
        <f>SUM(L156:L161)</f>
        <v>0</v>
      </c>
      <c r="M155" s="436">
        <f>SUM(M156:M161)</f>
        <v>0</v>
      </c>
      <c r="N155" s="471">
        <f>SUM(N156:N161)</f>
        <v>0</v>
      </c>
      <c r="O155" s="471">
        <f>SUM(O156:O161)</f>
        <v>0</v>
      </c>
      <c r="P155" s="502"/>
      <c r="Q155" s="503">
        <f>SUM(Q156:Q161)</f>
        <v>0</v>
      </c>
      <c r="R155" s="487"/>
      <c r="S155" s="48"/>
      <c r="T155" s="48"/>
      <c r="U155" s="50"/>
      <c r="V155" s="48"/>
      <c r="W155" s="48"/>
      <c r="X155" s="16"/>
      <c r="Y155" s="16"/>
    </row>
    <row r="156" spans="1:25" ht="12.75">
      <c r="A156" s="393">
        <v>1</v>
      </c>
      <c r="B156" s="111"/>
      <c r="C156" s="390"/>
      <c r="D156" s="390"/>
      <c r="H156" s="415"/>
      <c r="I156" s="425"/>
      <c r="J156" s="425"/>
      <c r="K156" s="425">
        <f aca="true" t="shared" si="32" ref="K156:K162">J156*(I156)</f>
        <v>0</v>
      </c>
      <c r="L156" s="467"/>
      <c r="M156" s="467"/>
      <c r="N156" s="468"/>
      <c r="O156" s="469"/>
      <c r="P156" s="482"/>
      <c r="Q156" s="489"/>
      <c r="R156" s="490"/>
      <c r="S156" s="48"/>
      <c r="T156" s="48"/>
      <c r="U156" s="16"/>
      <c r="V156" s="48"/>
      <c r="W156" s="48"/>
      <c r="X156" s="16"/>
      <c r="Y156" s="16"/>
    </row>
    <row r="157" spans="1:25" ht="12.75">
      <c r="A157" s="393">
        <v>2</v>
      </c>
      <c r="B157" s="111"/>
      <c r="C157" s="390"/>
      <c r="D157" s="390"/>
      <c r="H157" s="415"/>
      <c r="I157" s="425"/>
      <c r="J157" s="425"/>
      <c r="K157" s="425">
        <f t="shared" si="32"/>
        <v>0</v>
      </c>
      <c r="L157" s="467"/>
      <c r="M157" s="467"/>
      <c r="N157" s="468"/>
      <c r="O157" s="469"/>
      <c r="P157" s="482"/>
      <c r="Q157" s="483"/>
      <c r="R157" s="487"/>
      <c r="S157" s="48"/>
      <c r="T157" s="48"/>
      <c r="U157" s="50"/>
      <c r="V157" s="48"/>
      <c r="W157" s="48"/>
      <c r="X157" s="16"/>
      <c r="Y157" s="16"/>
    </row>
    <row r="158" spans="1:25" ht="12.75">
      <c r="A158" s="393">
        <v>3</v>
      </c>
      <c r="B158" s="111"/>
      <c r="C158" s="432"/>
      <c r="D158" s="390"/>
      <c r="I158" s="425"/>
      <c r="J158" s="425"/>
      <c r="K158" s="425">
        <f t="shared" si="32"/>
        <v>0</v>
      </c>
      <c r="L158" s="467"/>
      <c r="M158" s="467"/>
      <c r="N158" s="468"/>
      <c r="O158" s="469"/>
      <c r="P158" s="482"/>
      <c r="Q158" s="483"/>
      <c r="R158" s="487"/>
      <c r="S158" s="48"/>
      <c r="T158" s="48"/>
      <c r="U158" s="50"/>
      <c r="V158" s="48"/>
      <c r="W158" s="48"/>
      <c r="X158" s="16"/>
      <c r="Y158" s="16"/>
    </row>
    <row r="159" spans="1:25" ht="12.75">
      <c r="A159" s="393">
        <v>4</v>
      </c>
      <c r="B159" s="111"/>
      <c r="C159" s="390"/>
      <c r="D159" s="390"/>
      <c r="I159" s="425"/>
      <c r="J159" s="425"/>
      <c r="K159" s="425">
        <f t="shared" si="32"/>
        <v>0</v>
      </c>
      <c r="L159" s="467"/>
      <c r="M159" s="467"/>
      <c r="N159" s="468"/>
      <c r="O159" s="469"/>
      <c r="P159" s="482"/>
      <c r="Q159" s="483"/>
      <c r="R159" s="487"/>
      <c r="S159" s="48"/>
      <c r="T159" s="48"/>
      <c r="U159" s="50"/>
      <c r="V159" s="48"/>
      <c r="W159" s="48"/>
      <c r="X159" s="16"/>
      <c r="Y159" s="16"/>
    </row>
    <row r="160" spans="1:25" ht="12.75">
      <c r="A160" s="393">
        <v>5</v>
      </c>
      <c r="B160" s="111"/>
      <c r="C160" s="390"/>
      <c r="D160" s="390"/>
      <c r="I160" s="425"/>
      <c r="J160" s="425"/>
      <c r="K160" s="425">
        <f t="shared" si="32"/>
        <v>0</v>
      </c>
      <c r="L160" s="467"/>
      <c r="M160" s="467"/>
      <c r="N160" s="468"/>
      <c r="O160" s="469"/>
      <c r="P160" s="482"/>
      <c r="Q160" s="483"/>
      <c r="R160" s="487"/>
      <c r="S160" s="48"/>
      <c r="T160" s="48"/>
      <c r="U160" s="50"/>
      <c r="V160" s="48"/>
      <c r="W160" s="48"/>
      <c r="X160" s="16"/>
      <c r="Y160" s="16"/>
    </row>
    <row r="161" spans="1:25" ht="12.75">
      <c r="A161" s="393">
        <v>6</v>
      </c>
      <c r="B161" s="111"/>
      <c r="C161" s="390"/>
      <c r="D161" s="390"/>
      <c r="I161" s="425"/>
      <c r="J161" s="425"/>
      <c r="K161" s="425">
        <f t="shared" si="32"/>
        <v>0</v>
      </c>
      <c r="L161" s="467"/>
      <c r="M161" s="467"/>
      <c r="N161" s="468"/>
      <c r="O161" s="469"/>
      <c r="P161" s="482"/>
      <c r="Q161" s="483"/>
      <c r="R161" s="487"/>
      <c r="S161" s="48"/>
      <c r="T161" s="48"/>
      <c r="U161" s="50"/>
      <c r="V161" s="48"/>
      <c r="W161" s="48"/>
      <c r="X161" s="16"/>
      <c r="Y161" s="16"/>
    </row>
    <row r="162" spans="1:25" ht="13.5" thickBot="1">
      <c r="A162" s="394"/>
      <c r="B162" s="111"/>
      <c r="C162" s="390"/>
      <c r="D162" s="390"/>
      <c r="I162" s="425"/>
      <c r="J162" s="425"/>
      <c r="K162" s="425">
        <f t="shared" si="32"/>
        <v>0</v>
      </c>
      <c r="L162" s="467"/>
      <c r="M162" s="467"/>
      <c r="N162" s="468"/>
      <c r="O162" s="469"/>
      <c r="P162" s="482"/>
      <c r="Q162" s="483"/>
      <c r="R162" s="487"/>
      <c r="S162" s="48"/>
      <c r="T162" s="48"/>
      <c r="U162" s="50"/>
      <c r="V162" s="48"/>
      <c r="W162" s="48"/>
      <c r="X162" s="16"/>
      <c r="Y162" s="16"/>
    </row>
    <row r="163" spans="1:25" ht="13.5" thickBot="1">
      <c r="A163" s="389"/>
      <c r="B163" s="388" t="s">
        <v>1</v>
      </c>
      <c r="C163" s="398"/>
      <c r="D163" s="398"/>
      <c r="E163" s="398"/>
      <c r="F163" s="398"/>
      <c r="G163" s="398"/>
      <c r="H163" s="428"/>
      <c r="I163" s="381">
        <f>I30+I77+I86+I127+I144+I155</f>
        <v>0</v>
      </c>
      <c r="J163" s="381"/>
      <c r="K163" s="434">
        <f>K30+K77+K86+K127+K144+K155</f>
        <v>0</v>
      </c>
      <c r="L163" s="474">
        <f>L30+L77+L86+L127+L144+L155</f>
        <v>26.5</v>
      </c>
      <c r="M163" s="474">
        <f>M30+M77+M86+M127+M144+M155</f>
        <v>17.39133333333333</v>
      </c>
      <c r="N163" s="446">
        <f>N30+N77+N86+N127+N144+N155</f>
        <v>0</v>
      </c>
      <c r="O163" s="475" t="e">
        <f>((O30+O77+O86+O127+O144+O155)/N163)*100</f>
        <v>#DIV/0!</v>
      </c>
      <c r="P163" s="491"/>
      <c r="Q163" s="504" t="e">
        <f>((Q30+Q77+Q86+Q127+Q144+Q155)/K163)</f>
        <v>#DIV/0!</v>
      </c>
      <c r="R163" s="487"/>
      <c r="S163" s="48"/>
      <c r="T163" s="48"/>
      <c r="U163" s="50"/>
      <c r="V163" s="48"/>
      <c r="W163" s="48"/>
      <c r="X163" s="16"/>
      <c r="Y163" s="16"/>
    </row>
    <row r="164" spans="14:25" ht="13.5" thickBot="1">
      <c r="N164" s="436">
        <f>(-0.00063365*N163*N163)+(N163*0.11295)-0.00014275</f>
        <v>-0.00014275</v>
      </c>
      <c r="O164" s="435" t="s">
        <v>172</v>
      </c>
      <c r="P164" s="505"/>
      <c r="Q164" s="506" t="s">
        <v>177</v>
      </c>
      <c r="R164" s="487"/>
      <c r="S164" s="48"/>
      <c r="T164" s="48"/>
      <c r="U164" s="50"/>
      <c r="V164" s="48"/>
      <c r="W164" s="48"/>
      <c r="X164" s="16"/>
      <c r="Y164" s="16"/>
    </row>
    <row r="165" spans="4:25" ht="12.75">
      <c r="D165" s="435"/>
      <c r="E165" s="476"/>
      <c r="F165" s="477"/>
      <c r="G165" s="476"/>
      <c r="H165" s="477"/>
      <c r="I165" s="435"/>
      <c r="J165" s="435"/>
      <c r="K165" s="435"/>
      <c r="L165" s="435"/>
      <c r="N165" s="435" t="s">
        <v>211</v>
      </c>
      <c r="R165" s="487"/>
      <c r="S165" s="48"/>
      <c r="T165" s="48"/>
      <c r="U165" s="50"/>
      <c r="V165" s="48"/>
      <c r="W165" s="48"/>
      <c r="X165" s="16"/>
      <c r="Y165" s="16"/>
    </row>
    <row r="166" spans="18:25" ht="12.75">
      <c r="R166" s="487"/>
      <c r="S166" s="48"/>
      <c r="T166" s="48"/>
      <c r="U166" s="50"/>
      <c r="V166" s="48"/>
      <c r="W166" s="48"/>
      <c r="X166" s="16"/>
      <c r="Y166" s="16"/>
    </row>
    <row r="167" spans="18:25" ht="12.75">
      <c r="R167" s="490"/>
      <c r="S167" s="48"/>
      <c r="T167" s="48"/>
      <c r="U167" s="16"/>
      <c r="V167" s="48"/>
      <c r="W167" s="48"/>
      <c r="X167" s="16"/>
      <c r="Y167" s="16"/>
    </row>
    <row r="168" spans="18:25" ht="12.75">
      <c r="R168" s="487"/>
      <c r="S168" s="48"/>
      <c r="T168" s="48"/>
      <c r="U168" s="50"/>
      <c r="V168" s="48"/>
      <c r="W168" s="48"/>
      <c r="X168" s="16"/>
      <c r="Y168" s="16"/>
    </row>
    <row r="169" spans="18:25" ht="12.75">
      <c r="R169" s="487"/>
      <c r="S169" s="48"/>
      <c r="T169" s="48"/>
      <c r="U169" s="50"/>
      <c r="V169" s="48"/>
      <c r="W169" s="48"/>
      <c r="X169" s="16"/>
      <c r="Y169" s="16"/>
    </row>
    <row r="170" spans="18:25" ht="12.75">
      <c r="R170" s="487"/>
      <c r="S170" s="48"/>
      <c r="T170" s="48"/>
      <c r="U170" s="50"/>
      <c r="V170" s="48"/>
      <c r="W170" s="48"/>
      <c r="X170" s="16"/>
      <c r="Y170" s="16"/>
    </row>
    <row r="171" spans="18:25" ht="12.75">
      <c r="R171" s="487"/>
      <c r="S171" s="48"/>
      <c r="T171" s="48"/>
      <c r="U171" s="50"/>
      <c r="V171" s="48"/>
      <c r="W171" s="48"/>
      <c r="X171" s="16"/>
      <c r="Y171" s="16"/>
    </row>
    <row r="172" spans="18:25" ht="12.75">
      <c r="R172" s="487"/>
      <c r="S172" s="48"/>
      <c r="T172" s="48"/>
      <c r="U172" s="50"/>
      <c r="V172" s="48"/>
      <c r="W172" s="48"/>
      <c r="X172" s="16"/>
      <c r="Y172" s="16"/>
    </row>
    <row r="173" spans="18:25" ht="12.75">
      <c r="R173" s="487"/>
      <c r="S173" s="48"/>
      <c r="T173" s="48"/>
      <c r="U173" s="50"/>
      <c r="V173" s="48"/>
      <c r="W173" s="48"/>
      <c r="X173" s="16"/>
      <c r="Y173" s="16"/>
    </row>
    <row r="174" spans="18:25" ht="12.75">
      <c r="R174" s="487"/>
      <c r="S174" s="48"/>
      <c r="T174" s="48"/>
      <c r="U174" s="50"/>
      <c r="V174" s="48"/>
      <c r="W174" s="48"/>
      <c r="X174" s="16"/>
      <c r="Y174" s="16"/>
    </row>
    <row r="175" spans="18:25" ht="12.75">
      <c r="R175" s="487"/>
      <c r="S175" s="48"/>
      <c r="T175" s="48"/>
      <c r="U175" s="50"/>
      <c r="V175" s="48"/>
      <c r="W175" s="48"/>
      <c r="X175" s="16"/>
      <c r="Y175" s="16"/>
    </row>
    <row r="176" spans="18:25" ht="12.75">
      <c r="R176" s="487"/>
      <c r="S176" s="48"/>
      <c r="T176" s="48"/>
      <c r="U176" s="50"/>
      <c r="V176" s="48"/>
      <c r="W176" s="48"/>
      <c r="X176" s="16"/>
      <c r="Y176" s="16"/>
    </row>
    <row r="177" spans="18:25" ht="12.75">
      <c r="R177" s="487"/>
      <c r="S177" s="48"/>
      <c r="T177" s="48"/>
      <c r="U177" s="50"/>
      <c r="V177" s="48"/>
      <c r="W177" s="48"/>
      <c r="X177" s="16"/>
      <c r="Y177" s="16"/>
    </row>
    <row r="178" spans="18:25" ht="12.75">
      <c r="R178" s="487"/>
      <c r="S178" s="48"/>
      <c r="T178" s="48"/>
      <c r="U178" s="16"/>
      <c r="V178" s="50"/>
      <c r="W178" s="48"/>
      <c r="X178" s="16"/>
      <c r="Y178" s="16"/>
    </row>
    <row r="179" spans="18:25" ht="12.75">
      <c r="R179" s="487"/>
      <c r="S179" s="48"/>
      <c r="T179" s="48"/>
      <c r="U179" s="50"/>
      <c r="V179" s="48"/>
      <c r="W179" s="48"/>
      <c r="X179" s="16"/>
      <c r="Y179" s="16"/>
    </row>
    <row r="180" spans="18:25" ht="12.75">
      <c r="R180" s="487"/>
      <c r="S180" s="48"/>
      <c r="T180" s="48"/>
      <c r="U180" s="50"/>
      <c r="V180" s="48"/>
      <c r="W180" s="48"/>
      <c r="X180" s="16"/>
      <c r="Y180" s="16"/>
    </row>
    <row r="181" spans="18:25" ht="12.75">
      <c r="R181" s="487"/>
      <c r="S181" s="48"/>
      <c r="T181" s="48"/>
      <c r="U181" s="50"/>
      <c r="V181" s="48"/>
      <c r="W181" s="48"/>
      <c r="X181" s="16"/>
      <c r="Y181" s="16"/>
    </row>
    <row r="182" spans="18:25" ht="12.75">
      <c r="R182" s="487"/>
      <c r="S182" s="48"/>
      <c r="T182" s="48"/>
      <c r="U182" s="50"/>
      <c r="V182" s="48"/>
      <c r="W182" s="48"/>
      <c r="X182" s="16"/>
      <c r="Y182" s="16"/>
    </row>
    <row r="183" spans="18:25" ht="12.75">
      <c r="R183" s="487"/>
      <c r="S183" s="48"/>
      <c r="T183" s="48"/>
      <c r="U183" s="50"/>
      <c r="V183" s="48"/>
      <c r="W183" s="48"/>
      <c r="X183" s="16"/>
      <c r="Y183" s="16"/>
    </row>
    <row r="184" spans="18:25" ht="12.75">
      <c r="R184" s="487"/>
      <c r="S184" s="48"/>
      <c r="T184" s="48"/>
      <c r="U184" s="50"/>
      <c r="V184" s="48"/>
      <c r="W184" s="48"/>
      <c r="X184" s="16"/>
      <c r="Y184" s="16"/>
    </row>
    <row r="185" spans="18:25" ht="12.75">
      <c r="R185" s="487"/>
      <c r="S185" s="48"/>
      <c r="T185" s="48"/>
      <c r="U185" s="50"/>
      <c r="V185" s="48"/>
      <c r="W185" s="48"/>
      <c r="X185" s="16"/>
      <c r="Y185" s="16"/>
    </row>
    <row r="186" spans="18:25" ht="12.75">
      <c r="R186" s="487"/>
      <c r="S186" s="48"/>
      <c r="T186" s="48"/>
      <c r="U186" s="50"/>
      <c r="V186" s="48"/>
      <c r="W186" s="48"/>
      <c r="X186" s="16"/>
      <c r="Y186" s="16"/>
    </row>
    <row r="187" spans="18:25" ht="12.75">
      <c r="R187" s="487"/>
      <c r="S187" s="48"/>
      <c r="T187" s="48"/>
      <c r="U187" s="50"/>
      <c r="V187" s="48"/>
      <c r="W187" s="48"/>
      <c r="X187" s="16"/>
      <c r="Y187" s="16"/>
    </row>
    <row r="188" spans="18:25" ht="12.75">
      <c r="R188" s="487"/>
      <c r="S188" s="48"/>
      <c r="T188" s="48"/>
      <c r="U188" s="50"/>
      <c r="V188" s="48"/>
      <c r="W188" s="48"/>
      <c r="X188" s="16"/>
      <c r="Y188" s="16"/>
    </row>
    <row r="189" spans="18:25" ht="12.75">
      <c r="R189" s="487"/>
      <c r="S189" s="48"/>
      <c r="T189" s="48"/>
      <c r="U189" s="50"/>
      <c r="V189" s="48"/>
      <c r="W189" s="48"/>
      <c r="X189" s="16"/>
      <c r="Y189" s="16"/>
    </row>
    <row r="190" spans="18:25" ht="12.75">
      <c r="R190" s="487"/>
      <c r="S190" s="48"/>
      <c r="T190" s="48"/>
      <c r="U190" s="50"/>
      <c r="V190" s="48"/>
      <c r="W190" s="48"/>
      <c r="X190" s="16"/>
      <c r="Y190" s="16"/>
    </row>
    <row r="191" spans="18:25" ht="12.75">
      <c r="R191" s="487"/>
      <c r="S191" s="48"/>
      <c r="T191" s="48"/>
      <c r="U191" s="48"/>
      <c r="V191" s="48"/>
      <c r="W191" s="48"/>
      <c r="X191" s="16"/>
      <c r="Y191" s="16"/>
    </row>
    <row r="192" spans="18:25" ht="12.75">
      <c r="R192" s="496"/>
      <c r="S192" s="17"/>
      <c r="T192" s="17"/>
      <c r="U192" s="17"/>
      <c r="V192" s="17"/>
      <c r="W192" s="17"/>
      <c r="X192" s="17"/>
      <c r="Y192" s="16"/>
    </row>
    <row r="193" spans="18:25" ht="12.75">
      <c r="R193" s="496"/>
      <c r="S193" s="17"/>
      <c r="T193" s="17"/>
      <c r="U193" s="17"/>
      <c r="V193" s="17"/>
      <c r="W193" s="17"/>
      <c r="X193" s="17"/>
      <c r="Y193" s="16"/>
    </row>
    <row r="194" spans="19:20" ht="12.75">
      <c r="S194" s="16"/>
      <c r="T194" s="16"/>
    </row>
    <row r="195" spans="19:20" ht="12.75">
      <c r="S195" s="16"/>
      <c r="T195" s="16"/>
    </row>
    <row r="196" spans="19:20" ht="12.75">
      <c r="S196" s="16"/>
      <c r="T196" s="16"/>
    </row>
    <row r="197" spans="19:20" ht="12.75">
      <c r="S197" s="16"/>
      <c r="T197" s="16"/>
    </row>
    <row r="198" spans="19:20" ht="12.75">
      <c r="S198" s="16"/>
      <c r="T198" s="16"/>
    </row>
    <row r="199" spans="19:20" ht="12.75">
      <c r="S199" s="16"/>
      <c r="T199" s="16"/>
    </row>
    <row r="200" spans="19:20" ht="12.75">
      <c r="S200" s="16"/>
      <c r="T200" s="16"/>
    </row>
    <row r="201" spans="19:20" ht="12.75">
      <c r="S201" s="16"/>
      <c r="T201" s="16"/>
    </row>
    <row r="202" spans="19:20" ht="12.75">
      <c r="S202" s="16"/>
      <c r="T202" s="16"/>
    </row>
    <row r="203" spans="19:20" ht="12.75">
      <c r="S203" s="16"/>
      <c r="T203" s="16"/>
    </row>
    <row r="204" spans="19:20" ht="12.75">
      <c r="S204" s="16"/>
      <c r="T204" s="16"/>
    </row>
    <row r="205" spans="19:20" ht="12.75">
      <c r="S205" s="16"/>
      <c r="T205" s="16"/>
    </row>
    <row r="206" spans="19:20" ht="12.75">
      <c r="S206" s="16"/>
      <c r="T206" s="16"/>
    </row>
    <row r="207" spans="19:20" ht="12.75">
      <c r="S207" s="16"/>
      <c r="T207" s="16"/>
    </row>
    <row r="208" spans="19:20" ht="12.75">
      <c r="S208" s="16"/>
      <c r="T208" s="16"/>
    </row>
    <row r="209" spans="19:20" ht="12.75">
      <c r="S209" s="16"/>
      <c r="T209" s="16"/>
    </row>
    <row r="210" spans="19:20" ht="12.75">
      <c r="S210" s="16"/>
      <c r="T210" s="16"/>
    </row>
    <row r="211" spans="19:20" ht="12.75">
      <c r="S211" s="16"/>
      <c r="T211" s="16"/>
    </row>
    <row r="212" spans="19:20" ht="12.75">
      <c r="S212" s="16"/>
      <c r="T212" s="16"/>
    </row>
    <row r="213" spans="19:20" ht="12.75">
      <c r="S213" s="16"/>
      <c r="T213" s="16"/>
    </row>
    <row r="214" spans="19:20" ht="12.75">
      <c r="S214" s="16"/>
      <c r="T214" s="16"/>
    </row>
    <row r="215" spans="19:20" ht="12.75">
      <c r="S215" s="16"/>
      <c r="T215" s="16"/>
    </row>
    <row r="216" spans="19:20" ht="12.75">
      <c r="S216" s="16"/>
      <c r="T216" s="16"/>
    </row>
    <row r="217" spans="19:20" ht="12.75">
      <c r="S217" s="16"/>
      <c r="T217" s="16"/>
    </row>
    <row r="218" spans="19:20" ht="12.75">
      <c r="S218" s="16"/>
      <c r="T218" s="16"/>
    </row>
    <row r="219" spans="19:20" ht="12.75">
      <c r="S219" s="16"/>
      <c r="T219" s="16"/>
    </row>
    <row r="220" spans="19:20" ht="12.75">
      <c r="S220" s="16"/>
      <c r="T220" s="16"/>
    </row>
    <row r="221" spans="19:20" ht="12.75">
      <c r="S221" s="16"/>
      <c r="T221" s="16"/>
    </row>
    <row r="222" spans="19:20" ht="12.75">
      <c r="S222" s="16"/>
      <c r="T222" s="16"/>
    </row>
    <row r="223" spans="19:20" ht="12.75">
      <c r="S223" s="16"/>
      <c r="T223" s="16"/>
    </row>
    <row r="224" spans="19:20" ht="12.75">
      <c r="S224" s="16"/>
      <c r="T224" s="16"/>
    </row>
    <row r="225" spans="19:20" ht="12.75">
      <c r="S225" s="16"/>
      <c r="T225" s="16"/>
    </row>
    <row r="226" spans="19:20" ht="12.75">
      <c r="S226" s="16"/>
      <c r="T226" s="16"/>
    </row>
    <row r="227" spans="19:20" ht="12.75">
      <c r="S227" s="16"/>
      <c r="T227" s="16"/>
    </row>
    <row r="228" spans="19:20" ht="12.75">
      <c r="S228" s="16"/>
      <c r="T228" s="16"/>
    </row>
    <row r="229" spans="19:20" ht="12.75">
      <c r="S229" s="16"/>
      <c r="T229" s="16"/>
    </row>
    <row r="230" spans="19:20" ht="12.75">
      <c r="S230" s="16"/>
      <c r="T230" s="16"/>
    </row>
    <row r="231" spans="19:20" ht="12.75">
      <c r="S231" s="16"/>
      <c r="T231" s="16"/>
    </row>
    <row r="232" spans="19:20" ht="12.75">
      <c r="S232" s="16"/>
      <c r="T232" s="16"/>
    </row>
    <row r="233" spans="19:20" ht="12.75">
      <c r="S233" s="16"/>
      <c r="T233" s="16"/>
    </row>
  </sheetData>
  <mergeCells count="5">
    <mergeCell ref="I8:J8"/>
    <mergeCell ref="P28:Q28"/>
    <mergeCell ref="H25:I25"/>
    <mergeCell ref="L28:N28"/>
    <mergeCell ref="J28:K28"/>
  </mergeCells>
  <printOptions/>
  <pageMargins left="0.75" right="0.75" top="1" bottom="1" header="0" footer="0"/>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Y233"/>
  <sheetViews>
    <sheetView workbookViewId="0" topLeftCell="A1">
      <selection activeCell="M11" sqref="M11"/>
    </sheetView>
  </sheetViews>
  <sheetFormatPr defaultColWidth="11.421875" defaultRowHeight="12.75"/>
  <cols>
    <col min="1" max="1" width="5.421875" style="368" customWidth="1"/>
    <col min="2" max="2" width="11.421875" style="368" customWidth="1"/>
    <col min="3" max="3" width="8.28125" style="368" customWidth="1"/>
    <col min="4" max="4" width="6.57421875" style="368" customWidth="1"/>
    <col min="5" max="5" width="6.8515625" style="368" customWidth="1"/>
    <col min="6" max="6" width="11.421875" style="368" customWidth="1"/>
    <col min="7" max="7" width="7.7109375" style="368" customWidth="1"/>
    <col min="8" max="8" width="7.140625" style="368" customWidth="1"/>
    <col min="9" max="14" width="11.421875" style="368" customWidth="1"/>
    <col min="15" max="17" width="8.28125" style="368" customWidth="1"/>
    <col min="18" max="18" width="11.421875" style="368" customWidth="1"/>
    <col min="19" max="19" width="9.00390625" style="0" customWidth="1"/>
    <col min="20" max="20" width="8.28125" style="0" customWidth="1"/>
    <col min="21" max="21" width="11.00390625" style="0" customWidth="1"/>
    <col min="22" max="28" width="4.7109375" style="0" customWidth="1"/>
  </cols>
  <sheetData>
    <row r="1" spans="1:18" s="13" customFormat="1" ht="18.75" thickBot="1">
      <c r="A1" s="389"/>
      <c r="B1" s="397" t="s">
        <v>586</v>
      </c>
      <c r="C1" s="398"/>
      <c r="D1" s="398"/>
      <c r="E1" s="398"/>
      <c r="F1" s="398"/>
      <c r="G1" s="398"/>
      <c r="H1" s="398"/>
      <c r="I1" s="398"/>
      <c r="J1" s="398"/>
      <c r="K1" s="398"/>
      <c r="L1" s="398"/>
      <c r="M1" s="398"/>
      <c r="N1" s="398"/>
      <c r="O1" s="398"/>
      <c r="P1" s="398"/>
      <c r="Q1" s="398"/>
      <c r="R1" s="398"/>
    </row>
    <row r="2" spans="1:18" s="16" customFormat="1" ht="18">
      <c r="A2" s="390"/>
      <c r="B2" s="399"/>
      <c r="C2" s="390"/>
      <c r="D2" s="390"/>
      <c r="E2" s="390"/>
      <c r="F2" s="390"/>
      <c r="G2" s="390"/>
      <c r="H2" s="390"/>
      <c r="I2" s="390"/>
      <c r="J2" s="390"/>
      <c r="K2" s="390"/>
      <c r="L2" s="390"/>
      <c r="M2" s="390"/>
      <c r="N2" s="390"/>
      <c r="O2" s="390"/>
      <c r="P2" s="390"/>
      <c r="Q2" s="390"/>
      <c r="R2" s="390"/>
    </row>
    <row r="3" spans="13:24" ht="20.25">
      <c r="M3" s="110"/>
      <c r="N3" s="447"/>
      <c r="O3" s="447"/>
      <c r="P3" s="447"/>
      <c r="Q3" s="447"/>
      <c r="R3" s="447"/>
      <c r="S3" s="63"/>
      <c r="T3" s="63"/>
      <c r="U3" s="14"/>
      <c r="V3" s="14"/>
      <c r="W3" s="14"/>
      <c r="X3" s="14"/>
    </row>
    <row r="4" spans="13:24" ht="12.75">
      <c r="M4" s="390"/>
      <c r="N4" s="390"/>
      <c r="O4" s="390"/>
      <c r="P4" s="390"/>
      <c r="Q4" s="390"/>
      <c r="R4" s="390"/>
      <c r="S4" s="130"/>
      <c r="T4" s="130"/>
      <c r="U4" s="14"/>
      <c r="V4" s="14"/>
      <c r="W4" s="14"/>
      <c r="X4" s="14"/>
    </row>
    <row r="5" spans="2:24" ht="15.75">
      <c r="B5" s="129" t="s">
        <v>161</v>
      </c>
      <c r="F5" s="400"/>
      <c r="G5" s="400"/>
      <c r="H5" s="129" t="s">
        <v>184</v>
      </c>
      <c r="K5" s="401"/>
      <c r="L5" s="401"/>
      <c r="M5" s="390"/>
      <c r="N5" s="390"/>
      <c r="O5" s="390"/>
      <c r="P5" s="390"/>
      <c r="Q5" s="390"/>
      <c r="R5" s="390"/>
      <c r="S5" s="130"/>
      <c r="T5" s="130"/>
      <c r="U5" s="14"/>
      <c r="V5" s="14"/>
      <c r="W5" s="14"/>
      <c r="X5" s="14"/>
    </row>
    <row r="6" spans="2:20" ht="12.75">
      <c r="B6" s="111"/>
      <c r="C6" s="111"/>
      <c r="D6" s="405"/>
      <c r="E6" s="405"/>
      <c r="F6" s="405"/>
      <c r="G6" s="405"/>
      <c r="H6" s="390"/>
      <c r="I6" s="401"/>
      <c r="J6" s="401"/>
      <c r="K6" s="401"/>
      <c r="L6" s="401"/>
      <c r="M6" s="390"/>
      <c r="N6" s="390"/>
      <c r="O6" s="390"/>
      <c r="P6" s="390"/>
      <c r="Q6" s="390"/>
      <c r="R6" s="390"/>
      <c r="S6" s="130"/>
      <c r="T6" s="130"/>
    </row>
    <row r="7" spans="2:20" ht="13.5" thickBot="1">
      <c r="B7" s="111" t="s">
        <v>163</v>
      </c>
      <c r="C7" s="111"/>
      <c r="D7" s="113"/>
      <c r="E7" s="448" t="s">
        <v>164</v>
      </c>
      <c r="F7" s="113"/>
      <c r="G7" s="401"/>
      <c r="H7" s="129" t="s">
        <v>146</v>
      </c>
      <c r="I7" s="401"/>
      <c r="J7" s="401"/>
      <c r="K7" s="401"/>
      <c r="L7" s="449" t="s">
        <v>185</v>
      </c>
      <c r="M7" s="410"/>
      <c r="N7" s="407"/>
      <c r="O7" s="373" t="s">
        <v>581</v>
      </c>
      <c r="P7" s="410"/>
      <c r="Q7" s="390"/>
      <c r="R7" s="129"/>
      <c r="S7" s="16"/>
      <c r="T7" s="130"/>
    </row>
    <row r="8" spans="2:20" ht="13.5" thickBot="1">
      <c r="B8" s="351" t="s">
        <v>162</v>
      </c>
      <c r="C8" s="381" t="s">
        <v>0</v>
      </c>
      <c r="D8" s="390"/>
      <c r="E8" s="381" t="s">
        <v>162</v>
      </c>
      <c r="F8" s="371" t="s">
        <v>0</v>
      </c>
      <c r="G8" s="390"/>
      <c r="I8" s="477" t="s">
        <v>179</v>
      </c>
      <c r="J8" s="403" t="s">
        <v>180</v>
      </c>
      <c r="K8" s="404"/>
      <c r="L8" s="410"/>
      <c r="M8" s="450"/>
      <c r="N8" s="403"/>
      <c r="O8" s="451"/>
      <c r="P8" s="449" t="s">
        <v>179</v>
      </c>
      <c r="Q8" s="390"/>
      <c r="S8" s="16"/>
      <c r="T8" s="130"/>
    </row>
    <row r="9" spans="2:20" ht="13.5" thickBot="1">
      <c r="B9" s="349">
        <v>10</v>
      </c>
      <c r="C9" s="387">
        <v>0.663</v>
      </c>
      <c r="D9" s="390"/>
      <c r="E9" s="349">
        <v>10</v>
      </c>
      <c r="F9" s="387">
        <v>0.885</v>
      </c>
      <c r="G9" s="390"/>
      <c r="H9" s="420" t="s">
        <v>61</v>
      </c>
      <c r="I9" s="427" t="s">
        <v>0</v>
      </c>
      <c r="J9" s="427" t="s">
        <v>0</v>
      </c>
      <c r="L9" s="381" t="s">
        <v>61</v>
      </c>
      <c r="M9" s="348" t="s">
        <v>0</v>
      </c>
      <c r="N9" s="412"/>
      <c r="O9" s="452" t="s">
        <v>61</v>
      </c>
      <c r="P9" s="478" t="s">
        <v>0</v>
      </c>
      <c r="Q9" s="401"/>
      <c r="R9" s="351"/>
      <c r="S9" s="59"/>
      <c r="T9" s="130"/>
    </row>
    <row r="10" spans="2:20" ht="13.5" thickBot="1">
      <c r="B10" s="349">
        <v>9</v>
      </c>
      <c r="C10" s="387">
        <v>0.658</v>
      </c>
      <c r="D10" s="390"/>
      <c r="E10" s="349">
        <v>9</v>
      </c>
      <c r="F10" s="387">
        <v>0.882</v>
      </c>
      <c r="G10" s="390"/>
      <c r="H10" s="478">
        <v>10</v>
      </c>
      <c r="I10" s="443">
        <v>2.96</v>
      </c>
      <c r="J10" s="443">
        <v>2.96</v>
      </c>
      <c r="L10" s="442">
        <v>10</v>
      </c>
      <c r="M10" s="443">
        <v>3.32</v>
      </c>
      <c r="N10" s="453"/>
      <c r="O10" s="452">
        <v>10</v>
      </c>
      <c r="P10" s="443">
        <v>2.96</v>
      </c>
      <c r="Q10" s="415"/>
      <c r="R10" s="352"/>
      <c r="S10" s="31"/>
      <c r="T10" s="130"/>
    </row>
    <row r="11" spans="2:20" ht="13.5" thickBot="1">
      <c r="B11" s="349">
        <v>8</v>
      </c>
      <c r="C11" s="387">
        <v>0.654</v>
      </c>
      <c r="D11" s="390"/>
      <c r="E11" s="349">
        <v>8</v>
      </c>
      <c r="F11" s="387">
        <v>0.878</v>
      </c>
      <c r="G11" s="390"/>
      <c r="H11" s="408">
        <v>9</v>
      </c>
      <c r="I11" s="443">
        <v>2.5</v>
      </c>
      <c r="J11" s="443">
        <v>2.5</v>
      </c>
      <c r="L11" s="442">
        <v>9</v>
      </c>
      <c r="M11" s="443">
        <v>3.26</v>
      </c>
      <c r="N11" s="454"/>
      <c r="O11" s="425">
        <v>9</v>
      </c>
      <c r="P11" s="443">
        <v>2.5</v>
      </c>
      <c r="Q11" s="415"/>
      <c r="R11" s="352"/>
      <c r="S11" s="31"/>
      <c r="T11" s="130"/>
    </row>
    <row r="12" spans="2:20" ht="13.5" thickBot="1">
      <c r="B12" s="349">
        <v>7</v>
      </c>
      <c r="C12" s="387">
        <v>0.646</v>
      </c>
      <c r="D12" s="390"/>
      <c r="E12" s="349">
        <v>7</v>
      </c>
      <c r="F12" s="387">
        <v>0.872</v>
      </c>
      <c r="G12" s="405"/>
      <c r="H12" s="408">
        <v>8</v>
      </c>
      <c r="I12" s="443">
        <v>1.94</v>
      </c>
      <c r="J12" s="443">
        <v>1.94</v>
      </c>
      <c r="L12" s="442">
        <v>8</v>
      </c>
      <c r="M12" s="443">
        <v>3.12</v>
      </c>
      <c r="N12" s="454"/>
      <c r="O12" s="425">
        <v>8</v>
      </c>
      <c r="P12" s="443">
        <v>2.08</v>
      </c>
      <c r="Q12" s="415"/>
      <c r="R12" s="352"/>
      <c r="S12" s="31"/>
      <c r="T12" s="130"/>
    </row>
    <row r="13" spans="2:20" ht="13.5" thickBot="1">
      <c r="B13" s="349">
        <v>6</v>
      </c>
      <c r="C13" s="387">
        <v>0.638</v>
      </c>
      <c r="D13" s="390"/>
      <c r="E13" s="349">
        <v>6</v>
      </c>
      <c r="F13" s="387">
        <v>0.865</v>
      </c>
      <c r="G13" s="415"/>
      <c r="H13" s="408">
        <v>7</v>
      </c>
      <c r="I13" s="443">
        <v>1.39</v>
      </c>
      <c r="J13" s="443">
        <v>1.39</v>
      </c>
      <c r="L13" s="442">
        <v>7</v>
      </c>
      <c r="M13" s="443">
        <v>2.89</v>
      </c>
      <c r="N13" s="454"/>
      <c r="O13" s="425">
        <v>7</v>
      </c>
      <c r="P13" s="443">
        <v>1.53</v>
      </c>
      <c r="Q13" s="415"/>
      <c r="R13" s="352"/>
      <c r="S13" s="31"/>
      <c r="T13" s="130"/>
    </row>
    <row r="14" spans="2:20" ht="13.5" thickBot="1">
      <c r="B14" s="349">
        <v>5</v>
      </c>
      <c r="C14" s="387">
        <v>0.613</v>
      </c>
      <c r="D14" s="390"/>
      <c r="E14" s="349">
        <v>5</v>
      </c>
      <c r="F14" s="387">
        <v>0.844</v>
      </c>
      <c r="G14" s="415"/>
      <c r="H14" s="408">
        <v>6</v>
      </c>
      <c r="I14" s="443">
        <v>0.83</v>
      </c>
      <c r="J14" s="443">
        <v>0.83</v>
      </c>
      <c r="L14" s="442">
        <v>6</v>
      </c>
      <c r="M14" s="443">
        <v>2.56</v>
      </c>
      <c r="N14" s="454"/>
      <c r="O14" s="425">
        <v>6</v>
      </c>
      <c r="P14" s="443">
        <v>1.06</v>
      </c>
      <c r="Q14" s="415"/>
      <c r="R14" s="352"/>
      <c r="S14" s="31"/>
      <c r="T14" s="130"/>
    </row>
    <row r="15" spans="2:20" ht="13.5" thickBot="1">
      <c r="B15" s="349">
        <v>4</v>
      </c>
      <c r="C15" s="387">
        <v>0.546</v>
      </c>
      <c r="D15" s="390"/>
      <c r="E15" s="349">
        <v>4</v>
      </c>
      <c r="F15" s="387">
        <v>0.785</v>
      </c>
      <c r="G15" s="415"/>
      <c r="H15" s="408">
        <v>5</v>
      </c>
      <c r="I15" s="443">
        <v>0.37</v>
      </c>
      <c r="J15" s="443">
        <v>0.37</v>
      </c>
      <c r="L15" s="442">
        <v>5</v>
      </c>
      <c r="M15" s="443">
        <v>2.15</v>
      </c>
      <c r="N15" s="454"/>
      <c r="O15" s="425">
        <v>5</v>
      </c>
      <c r="P15" s="443">
        <v>0.62</v>
      </c>
      <c r="Q15" s="415"/>
      <c r="R15" s="352"/>
      <c r="S15" s="31"/>
      <c r="T15" s="130"/>
    </row>
    <row r="16" spans="2:20" ht="13.5" thickBot="1">
      <c r="B16" s="349">
        <v>3</v>
      </c>
      <c r="C16" s="387">
        <v>0.492</v>
      </c>
      <c r="D16" s="390"/>
      <c r="E16" s="349">
        <v>3</v>
      </c>
      <c r="F16" s="387">
        <v>0.736</v>
      </c>
      <c r="G16" s="415"/>
      <c r="H16" s="408">
        <v>4</v>
      </c>
      <c r="I16" s="445">
        <v>0.09</v>
      </c>
      <c r="J16" s="445">
        <v>0.09</v>
      </c>
      <c r="L16" s="442">
        <v>4</v>
      </c>
      <c r="M16" s="443">
        <v>1.67</v>
      </c>
      <c r="N16" s="454"/>
      <c r="O16" s="425">
        <v>4</v>
      </c>
      <c r="P16" s="443">
        <v>0.43</v>
      </c>
      <c r="Q16" s="415"/>
      <c r="R16" s="349"/>
      <c r="S16" s="31"/>
      <c r="T16" s="130"/>
    </row>
    <row r="17" spans="2:20" ht="13.5" thickBot="1">
      <c r="B17" s="349">
        <v>2</v>
      </c>
      <c r="C17" s="387">
        <v>0.45</v>
      </c>
      <c r="D17" s="390"/>
      <c r="E17" s="349">
        <v>2</v>
      </c>
      <c r="F17" s="387">
        <v>0.69</v>
      </c>
      <c r="G17" s="415"/>
      <c r="H17" s="438">
        <v>3</v>
      </c>
      <c r="I17" s="455">
        <v>0</v>
      </c>
      <c r="J17" s="456">
        <v>0</v>
      </c>
      <c r="L17" s="442">
        <v>3</v>
      </c>
      <c r="M17" s="443">
        <v>1.19</v>
      </c>
      <c r="N17" s="454"/>
      <c r="O17" s="425">
        <v>3</v>
      </c>
      <c r="P17" s="443">
        <v>0.28</v>
      </c>
      <c r="Q17" s="415"/>
      <c r="S17" s="130"/>
      <c r="T17" s="130"/>
    </row>
    <row r="18" spans="2:20" ht="13.5" thickBot="1">
      <c r="B18" s="349">
        <v>1</v>
      </c>
      <c r="C18" s="387">
        <v>0.346</v>
      </c>
      <c r="D18" s="390"/>
      <c r="E18" s="349">
        <v>1</v>
      </c>
      <c r="F18" s="387">
        <v>0.57</v>
      </c>
      <c r="G18" s="415"/>
      <c r="H18" s="113"/>
      <c r="I18" s="401"/>
      <c r="J18" s="407"/>
      <c r="L18" s="442">
        <v>2</v>
      </c>
      <c r="M18" s="443">
        <v>0.77</v>
      </c>
      <c r="N18" s="415"/>
      <c r="P18" s="401"/>
      <c r="Q18" s="415"/>
      <c r="S18" s="130"/>
      <c r="T18" s="130"/>
    </row>
    <row r="19" spans="4:20" ht="12.75">
      <c r="D19" s="390"/>
      <c r="G19" s="415"/>
      <c r="H19" s="448"/>
      <c r="I19" s="447"/>
      <c r="J19" s="390"/>
      <c r="K19" s="390"/>
      <c r="L19" s="442">
        <v>1</v>
      </c>
      <c r="M19" s="443">
        <v>0.45</v>
      </c>
      <c r="N19" s="415"/>
      <c r="P19" s="401"/>
      <c r="Q19" s="415"/>
      <c r="S19" s="130"/>
      <c r="T19" s="130"/>
    </row>
    <row r="20" spans="2:20" ht="13.5" thickBot="1">
      <c r="B20" s="113" t="s">
        <v>191</v>
      </c>
      <c r="D20" s="390"/>
      <c r="G20" s="415"/>
      <c r="H20" s="390"/>
      <c r="I20" s="390"/>
      <c r="J20" s="457"/>
      <c r="K20" s="403"/>
      <c r="L20" s="444">
        <v>0</v>
      </c>
      <c r="M20" s="445">
        <v>0.22</v>
      </c>
      <c r="S20" s="130"/>
      <c r="T20" s="130"/>
    </row>
    <row r="21" spans="2:20" ht="13.5" thickBot="1">
      <c r="B21" s="381" t="s">
        <v>162</v>
      </c>
      <c r="C21" s="381" t="s">
        <v>0</v>
      </c>
      <c r="D21" s="390"/>
      <c r="G21" s="415"/>
      <c r="H21" s="401"/>
      <c r="I21" s="401"/>
      <c r="J21" s="401"/>
      <c r="K21" s="401"/>
      <c r="L21" s="401"/>
      <c r="M21" s="390"/>
      <c r="S21" s="130"/>
      <c r="T21" s="130"/>
    </row>
    <row r="22" spans="2:20" ht="13.5" thickBot="1">
      <c r="B22" s="420" t="s">
        <v>154</v>
      </c>
      <c r="C22" s="493">
        <f>1/6</f>
        <v>0.16666666666666666</v>
      </c>
      <c r="D22" s="390"/>
      <c r="G22" s="415"/>
      <c r="H22" s="403"/>
      <c r="I22" s="404"/>
      <c r="J22" s="458"/>
      <c r="K22" s="458"/>
      <c r="L22" s="129"/>
      <c r="S22" s="130"/>
      <c r="T22" s="130"/>
    </row>
    <row r="23" spans="4:20" ht="13.5" thickBot="1">
      <c r="D23" s="390"/>
      <c r="G23" s="415"/>
      <c r="H23" s="403"/>
      <c r="I23" s="404"/>
      <c r="J23" s="458"/>
      <c r="K23" s="458"/>
      <c r="S23" s="130"/>
      <c r="T23" s="130"/>
    </row>
    <row r="24" spans="4:20" ht="13.5" thickBot="1">
      <c r="D24" s="390"/>
      <c r="G24" s="401"/>
      <c r="H24" s="403"/>
      <c r="I24" s="404"/>
      <c r="J24" s="458"/>
      <c r="K24" s="458"/>
      <c r="L24" s="347"/>
      <c r="M24" s="348"/>
      <c r="S24" s="130"/>
      <c r="T24" s="130"/>
    </row>
    <row r="25" spans="4:21" ht="13.5" thickBot="1">
      <c r="D25" s="390"/>
      <c r="G25" s="415"/>
      <c r="H25" s="740"/>
      <c r="I25" s="741"/>
      <c r="J25" s="459"/>
      <c r="L25" s="349"/>
      <c r="M25" s="350"/>
      <c r="S25" s="130"/>
      <c r="T25" s="130"/>
      <c r="U25" s="1"/>
    </row>
    <row r="26" spans="4:20" ht="12.75">
      <c r="D26" s="390"/>
      <c r="G26" s="415"/>
      <c r="S26" s="130"/>
      <c r="T26" s="130"/>
    </row>
    <row r="27" spans="19:20" ht="13.5" thickBot="1">
      <c r="S27" s="130"/>
      <c r="T27" s="130"/>
    </row>
    <row r="28" spans="1:20" ht="16.5" thickBot="1">
      <c r="A28" s="391"/>
      <c r="B28" s="416" t="s">
        <v>11</v>
      </c>
      <c r="C28" s="417" t="s">
        <v>17</v>
      </c>
      <c r="D28" s="418"/>
      <c r="E28" s="418"/>
      <c r="F28" s="418"/>
      <c r="G28" s="418"/>
      <c r="H28" s="419"/>
      <c r="J28" s="738" t="s">
        <v>167</v>
      </c>
      <c r="K28" s="732"/>
      <c r="L28" s="735" t="s">
        <v>117</v>
      </c>
      <c r="M28" s="736"/>
      <c r="N28" s="737"/>
      <c r="O28" s="381" t="s">
        <v>171</v>
      </c>
      <c r="P28" s="731" t="s">
        <v>174</v>
      </c>
      <c r="Q28" s="732"/>
      <c r="S28" s="130"/>
      <c r="T28" s="130"/>
    </row>
    <row r="29" spans="1:20" ht="13.5" thickBot="1">
      <c r="A29" s="389"/>
      <c r="B29" s="398"/>
      <c r="C29" s="398"/>
      <c r="D29" s="398"/>
      <c r="E29" s="398"/>
      <c r="F29" s="398"/>
      <c r="G29" s="398"/>
      <c r="H29" s="398"/>
      <c r="I29" s="420" t="s">
        <v>166</v>
      </c>
      <c r="J29" s="351" t="s">
        <v>168</v>
      </c>
      <c r="K29" s="460" t="s">
        <v>121</v>
      </c>
      <c r="L29" s="463" t="s">
        <v>118</v>
      </c>
      <c r="M29" s="429" t="s">
        <v>170</v>
      </c>
      <c r="N29" s="457" t="s">
        <v>116</v>
      </c>
      <c r="O29" s="429" t="s">
        <v>175</v>
      </c>
      <c r="P29" s="480" t="s">
        <v>176</v>
      </c>
      <c r="Q29" s="481" t="s">
        <v>175</v>
      </c>
      <c r="S29" s="130"/>
      <c r="T29" s="130"/>
    </row>
    <row r="30" spans="1:20" ht="13.5" thickBot="1">
      <c r="A30" s="392"/>
      <c r="B30" s="421" t="s">
        <v>12</v>
      </c>
      <c r="C30" s="422"/>
      <c r="D30" s="422"/>
      <c r="E30" s="422"/>
      <c r="F30" s="422"/>
      <c r="G30" s="422"/>
      <c r="H30" s="423"/>
      <c r="I30" s="350">
        <f>SUM(I31:I76)</f>
        <v>0</v>
      </c>
      <c r="J30" s="350"/>
      <c r="K30" s="350">
        <f>SUM(K31:K76)</f>
        <v>0</v>
      </c>
      <c r="L30" s="459"/>
      <c r="M30" s="459"/>
      <c r="N30" s="466">
        <f>SUM(N31:N76)</f>
        <v>0</v>
      </c>
      <c r="O30" s="466">
        <f>SUM(O31:O76)</f>
        <v>0</v>
      </c>
      <c r="P30" s="466"/>
      <c r="Q30" s="466">
        <f>SUM(Q31:Q76)</f>
        <v>0</v>
      </c>
      <c r="S30" s="130"/>
      <c r="T30" s="130"/>
    </row>
    <row r="31" spans="1:20" ht="15.75">
      <c r="A31" s="393">
        <v>1</v>
      </c>
      <c r="B31" s="426" t="s">
        <v>248</v>
      </c>
      <c r="C31" s="390"/>
      <c r="D31" s="390"/>
      <c r="I31" s="425"/>
      <c r="J31" s="425"/>
      <c r="K31" s="425"/>
      <c r="L31" s="467"/>
      <c r="M31" s="467"/>
      <c r="N31" s="468"/>
      <c r="O31" s="469"/>
      <c r="P31" s="482"/>
      <c r="Q31" s="483"/>
      <c r="S31" s="130"/>
      <c r="T31" s="130"/>
    </row>
    <row r="32" spans="1:20" ht="15.75">
      <c r="A32" s="393"/>
      <c r="B32" s="426"/>
      <c r="C32" s="390" t="s">
        <v>495</v>
      </c>
      <c r="D32" s="390"/>
      <c r="I32" s="425">
        <f>'CUARTEL GENERAL'!E5+'CUARTEL GENERAL'!E6</f>
        <v>0</v>
      </c>
      <c r="J32" s="425">
        <f>4+'CUARTEL GENERAL'!E6</f>
        <v>4</v>
      </c>
      <c r="K32" s="425">
        <f>(J32*(I32))</f>
        <v>0</v>
      </c>
      <c r="L32" s="467">
        <f>I14</f>
        <v>0.83</v>
      </c>
      <c r="M32" s="467">
        <f>C14</f>
        <v>0.613</v>
      </c>
      <c r="N32" s="468">
        <f>K32*L32*M32</f>
        <v>0</v>
      </c>
      <c r="O32" s="470">
        <f>N32</f>
        <v>0</v>
      </c>
      <c r="P32" s="482">
        <v>5</v>
      </c>
      <c r="Q32" s="484">
        <f>P32*K32</f>
        <v>0</v>
      </c>
      <c r="S32" s="130"/>
      <c r="T32" s="130"/>
    </row>
    <row r="33" spans="1:20" ht="15.75">
      <c r="A33" s="393"/>
      <c r="B33" s="426"/>
      <c r="C33" s="390" t="s">
        <v>493</v>
      </c>
      <c r="D33" s="390"/>
      <c r="I33" s="425"/>
      <c r="J33" s="425">
        <v>1</v>
      </c>
      <c r="K33" s="425">
        <f>J33*(I32)</f>
        <v>0</v>
      </c>
      <c r="L33" s="467">
        <f>L32</f>
        <v>0.83</v>
      </c>
      <c r="M33" s="467">
        <f>F14</f>
        <v>0.844</v>
      </c>
      <c r="N33" s="468">
        <f>K33*L33*M33</f>
        <v>0</v>
      </c>
      <c r="O33" s="470">
        <f>N33</f>
        <v>0</v>
      </c>
      <c r="P33" s="482">
        <v>5</v>
      </c>
      <c r="Q33" s="484">
        <f>P33*K33</f>
        <v>0</v>
      </c>
      <c r="S33" s="130"/>
      <c r="T33" s="130"/>
    </row>
    <row r="34" spans="1:20" ht="15.75">
      <c r="A34" s="393">
        <v>2</v>
      </c>
      <c r="B34" s="426" t="s">
        <v>249</v>
      </c>
      <c r="C34" s="390"/>
      <c r="D34" s="390"/>
      <c r="I34" s="425"/>
      <c r="J34" s="425"/>
      <c r="K34" s="425"/>
      <c r="L34" s="467"/>
      <c r="M34" s="467"/>
      <c r="N34" s="468"/>
      <c r="O34" s="470"/>
      <c r="P34" s="482"/>
      <c r="Q34" s="484"/>
      <c r="S34" s="130"/>
      <c r="T34" s="130"/>
    </row>
    <row r="35" spans="1:20" ht="15.75">
      <c r="A35" s="393"/>
      <c r="B35" s="426"/>
      <c r="C35" s="390" t="s">
        <v>494</v>
      </c>
      <c r="D35" s="390"/>
      <c r="I35" s="425">
        <f>'CUARTEL GENERAL'!E22+'CUARTEL GENERAL'!E23+'CUARTEL GENERAL'!K75</f>
        <v>0</v>
      </c>
      <c r="J35" s="425">
        <f>3+'CUARTEL GENERAL'!E23</f>
        <v>3</v>
      </c>
      <c r="K35" s="425">
        <f>J35*(I35)</f>
        <v>0</v>
      </c>
      <c r="L35" s="467">
        <f>I16</f>
        <v>0.09</v>
      </c>
      <c r="M35" s="467">
        <f>C14</f>
        <v>0.613</v>
      </c>
      <c r="N35" s="468">
        <f>K35*L35*M35</f>
        <v>0</v>
      </c>
      <c r="O35" s="470">
        <f>N35</f>
        <v>0</v>
      </c>
      <c r="P35" s="482">
        <v>5</v>
      </c>
      <c r="Q35" s="484">
        <f>P35*K35</f>
        <v>0</v>
      </c>
      <c r="S35" s="130"/>
      <c r="T35" s="130"/>
    </row>
    <row r="36" spans="1:20" ht="15.75">
      <c r="A36" s="393"/>
      <c r="B36" s="426"/>
      <c r="C36" s="390"/>
      <c r="D36" s="390"/>
      <c r="I36" s="425"/>
      <c r="J36" s="425">
        <v>1</v>
      </c>
      <c r="K36" s="425">
        <f>J36*(I35)</f>
        <v>0</v>
      </c>
      <c r="L36" s="467">
        <f>L35</f>
        <v>0.09</v>
      </c>
      <c r="M36" s="467">
        <f>F14</f>
        <v>0.844</v>
      </c>
      <c r="N36" s="468">
        <f>K36*L36*M36</f>
        <v>0</v>
      </c>
      <c r="O36" s="470">
        <f>N36</f>
        <v>0</v>
      </c>
      <c r="P36" s="482">
        <v>5</v>
      </c>
      <c r="Q36" s="484">
        <f>P36*K36</f>
        <v>0</v>
      </c>
      <c r="S36" s="130"/>
      <c r="T36" s="130"/>
    </row>
    <row r="37" spans="1:20" ht="15.75">
      <c r="A37" s="393">
        <v>3</v>
      </c>
      <c r="B37" s="426" t="s">
        <v>250</v>
      </c>
      <c r="C37" s="390"/>
      <c r="D37" s="390"/>
      <c r="I37" s="425"/>
      <c r="J37" s="425"/>
      <c r="K37" s="425"/>
      <c r="L37" s="467"/>
      <c r="M37" s="467"/>
      <c r="N37" s="468"/>
      <c r="O37" s="470"/>
      <c r="P37" s="482"/>
      <c r="Q37" s="484"/>
      <c r="S37" s="130"/>
      <c r="T37" s="130"/>
    </row>
    <row r="38" spans="1:20" ht="15.75">
      <c r="A38" s="393"/>
      <c r="B38" s="426"/>
      <c r="C38" s="390" t="s">
        <v>500</v>
      </c>
      <c r="D38" s="390"/>
      <c r="I38" s="425">
        <f>'CUARTEL GENERAL'!E12</f>
        <v>0</v>
      </c>
      <c r="J38" s="425">
        <f>2+'CUARTEL GENERAL'!E13</f>
        <v>2</v>
      </c>
      <c r="K38" s="425">
        <f>J38*(I38)</f>
        <v>0</v>
      </c>
      <c r="L38" s="467">
        <f>I16</f>
        <v>0.09</v>
      </c>
      <c r="M38" s="467">
        <f>C14</f>
        <v>0.613</v>
      </c>
      <c r="N38" s="468">
        <f>K38*L38*M38</f>
        <v>0</v>
      </c>
      <c r="O38" s="470">
        <f>N38</f>
        <v>0</v>
      </c>
      <c r="P38" s="482">
        <v>5</v>
      </c>
      <c r="Q38" s="484">
        <f>P38*K38</f>
        <v>0</v>
      </c>
      <c r="S38" s="130"/>
      <c r="T38" s="130"/>
    </row>
    <row r="39" spans="1:20" ht="15.75">
      <c r="A39" s="393"/>
      <c r="B39" s="426"/>
      <c r="C39" s="390" t="s">
        <v>501</v>
      </c>
      <c r="D39" s="390"/>
      <c r="I39" s="425"/>
      <c r="J39" s="425">
        <v>1</v>
      </c>
      <c r="K39" s="425">
        <f>J39*(I38)</f>
        <v>0</v>
      </c>
      <c r="L39" s="467">
        <f>L38</f>
        <v>0.09</v>
      </c>
      <c r="M39" s="467">
        <f>F14</f>
        <v>0.844</v>
      </c>
      <c r="N39" s="468">
        <f>K39*L39*M39</f>
        <v>0</v>
      </c>
      <c r="O39" s="470"/>
      <c r="P39" s="482"/>
      <c r="Q39" s="484"/>
      <c r="S39" s="130"/>
      <c r="T39" s="130"/>
    </row>
    <row r="40" spans="1:20" ht="15.75">
      <c r="A40" s="393"/>
      <c r="B40" s="426"/>
      <c r="C40" s="390" t="s">
        <v>490</v>
      </c>
      <c r="D40" s="390"/>
      <c r="I40" s="425">
        <f>'CUARTEL GENERAL'!E11</f>
        <v>0</v>
      </c>
      <c r="J40" s="425">
        <f>4+'CUARTEL GENERAL'!E13</f>
        <v>4</v>
      </c>
      <c r="K40" s="425">
        <f>J40*(I40)</f>
        <v>0</v>
      </c>
      <c r="L40" s="467">
        <f>J16</f>
        <v>0.09</v>
      </c>
      <c r="M40" s="467">
        <f>C14</f>
        <v>0.613</v>
      </c>
      <c r="N40" s="468">
        <f>K40*L40*M40</f>
        <v>0</v>
      </c>
      <c r="O40" s="470">
        <f>N40</f>
        <v>0</v>
      </c>
      <c r="P40" s="482">
        <v>5</v>
      </c>
      <c r="Q40" s="484">
        <f>P40*K40</f>
        <v>0</v>
      </c>
      <c r="S40" s="130"/>
      <c r="T40" s="130"/>
    </row>
    <row r="41" spans="1:20" ht="15.75">
      <c r="A41" s="393"/>
      <c r="B41" s="426"/>
      <c r="C41" s="390" t="s">
        <v>169</v>
      </c>
      <c r="D41" s="390"/>
      <c r="I41" s="425">
        <f>'CUARTEL GENERAL'!E10</f>
        <v>0</v>
      </c>
      <c r="J41" s="425">
        <f>3+'CUARTEL GENERAL'!E13</f>
        <v>3</v>
      </c>
      <c r="K41" s="425">
        <f>J41*(I41)</f>
        <v>0</v>
      </c>
      <c r="L41" s="467">
        <f>I12</f>
        <v>1.94</v>
      </c>
      <c r="M41" s="467">
        <f>C14</f>
        <v>0.613</v>
      </c>
      <c r="N41" s="468">
        <f>K41*L41*M41</f>
        <v>0</v>
      </c>
      <c r="O41" s="470">
        <f>N41</f>
        <v>0</v>
      </c>
      <c r="P41" s="482">
        <v>1</v>
      </c>
      <c r="Q41" s="484">
        <f>P41*K41</f>
        <v>0</v>
      </c>
      <c r="S41" s="130"/>
      <c r="T41" s="130"/>
    </row>
    <row r="42" spans="1:20" ht="15.75">
      <c r="A42" s="393">
        <v>4</v>
      </c>
      <c r="B42" s="426" t="s">
        <v>253</v>
      </c>
      <c r="C42" s="390"/>
      <c r="D42" s="390"/>
      <c r="I42" s="425"/>
      <c r="J42" s="425"/>
      <c r="K42" s="425"/>
      <c r="L42" s="467"/>
      <c r="M42" s="467"/>
      <c r="N42" s="468"/>
      <c r="O42" s="470"/>
      <c r="P42" s="482"/>
      <c r="Q42" s="484"/>
      <c r="S42" s="130"/>
      <c r="T42" s="130"/>
    </row>
    <row r="43" spans="1:20" ht="15.75">
      <c r="A43" s="393"/>
      <c r="B43" s="426"/>
      <c r="C43" s="390" t="s">
        <v>500</v>
      </c>
      <c r="D43" s="390"/>
      <c r="I43" s="425">
        <f>'CUARTEL GENERAL'!E17</f>
        <v>0</v>
      </c>
      <c r="J43" s="425">
        <f>3</f>
        <v>3</v>
      </c>
      <c r="K43" s="425">
        <f>J43*(I43)</f>
        <v>0</v>
      </c>
      <c r="L43" s="467">
        <f>I16</f>
        <v>0.09</v>
      </c>
      <c r="M43" s="467">
        <f>C14</f>
        <v>0.613</v>
      </c>
      <c r="N43" s="468">
        <f>K43*L43*M43</f>
        <v>0</v>
      </c>
      <c r="O43" s="470">
        <f>N43</f>
        <v>0</v>
      </c>
      <c r="P43" s="482">
        <v>5</v>
      </c>
      <c r="Q43" s="484">
        <f>P43*K43</f>
        <v>0</v>
      </c>
      <c r="S43" s="130"/>
      <c r="T43" s="130"/>
    </row>
    <row r="44" spans="1:20" ht="15.75">
      <c r="A44" s="393"/>
      <c r="B44" s="426"/>
      <c r="C44" s="390" t="s">
        <v>501</v>
      </c>
      <c r="D44" s="390"/>
      <c r="I44" s="425"/>
      <c r="J44" s="425">
        <v>1</v>
      </c>
      <c r="K44" s="425">
        <f>J44*(I43)</f>
        <v>0</v>
      </c>
      <c r="L44" s="467">
        <f>L43</f>
        <v>0.09</v>
      </c>
      <c r="M44" s="467">
        <f>F14</f>
        <v>0.844</v>
      </c>
      <c r="N44" s="468">
        <f>K44*L44*M44</f>
        <v>0</v>
      </c>
      <c r="O44" s="470">
        <f>N44</f>
        <v>0</v>
      </c>
      <c r="P44" s="482">
        <v>5</v>
      </c>
      <c r="Q44" s="484">
        <f>P44*K44</f>
        <v>0</v>
      </c>
      <c r="S44" s="130"/>
      <c r="T44" s="130"/>
    </row>
    <row r="45" spans="1:20" ht="15.75">
      <c r="A45" s="393">
        <v>5</v>
      </c>
      <c r="B45" s="426" t="s">
        <v>257</v>
      </c>
      <c r="C45" s="390"/>
      <c r="D45" s="390"/>
      <c r="I45" s="425"/>
      <c r="J45" s="425"/>
      <c r="K45" s="425"/>
      <c r="L45" s="467"/>
      <c r="M45" s="467"/>
      <c r="N45" s="468"/>
      <c r="O45" s="469"/>
      <c r="P45" s="482"/>
      <c r="Q45" s="484"/>
      <c r="S45" s="130"/>
      <c r="T45" s="130"/>
    </row>
    <row r="46" spans="1:20" ht="15.75">
      <c r="A46" s="393"/>
      <c r="B46" s="426"/>
      <c r="C46" s="390" t="s">
        <v>265</v>
      </c>
      <c r="D46" s="390"/>
      <c r="I46" s="425">
        <f>'CUARTEL GENERAL'!K27</f>
        <v>0</v>
      </c>
      <c r="J46" s="425">
        <f>4</f>
        <v>4</v>
      </c>
      <c r="K46" s="425">
        <f aca="true" t="shared" si="0" ref="K46:K57">J46*(I46)</f>
        <v>0</v>
      </c>
      <c r="L46" s="467">
        <f>I16</f>
        <v>0.09</v>
      </c>
      <c r="M46" s="467">
        <f>$C$14</f>
        <v>0.613</v>
      </c>
      <c r="N46" s="468">
        <f aca="true" t="shared" si="1" ref="N46:N57">K46*L46*M46</f>
        <v>0</v>
      </c>
      <c r="O46" s="470"/>
      <c r="P46" s="482">
        <v>5</v>
      </c>
      <c r="Q46" s="484">
        <f aca="true" t="shared" si="2" ref="Q46:Q57">P46*K46</f>
        <v>0</v>
      </c>
      <c r="S46" s="130"/>
      <c r="T46" s="130"/>
    </row>
    <row r="47" spans="1:20" ht="15.75">
      <c r="A47" s="393"/>
      <c r="B47" s="426"/>
      <c r="C47" s="390" t="s">
        <v>492</v>
      </c>
      <c r="D47" s="390"/>
      <c r="I47" s="425">
        <f>'CUARTEL GENERAL'!K29+'CUARTEL GENERAL'!K73+'CUARTEL GENERAL'!K74+'CUARTEL GENERAL'!L75</f>
        <v>0</v>
      </c>
      <c r="J47" s="425">
        <f>4</f>
        <v>4</v>
      </c>
      <c r="K47" s="425">
        <f t="shared" si="0"/>
        <v>0</v>
      </c>
      <c r="L47" s="467">
        <f>L46</f>
        <v>0.09</v>
      </c>
      <c r="M47" s="467">
        <f>$C$14</f>
        <v>0.613</v>
      </c>
      <c r="N47" s="468">
        <f t="shared" si="1"/>
        <v>0</v>
      </c>
      <c r="O47" s="470">
        <f aca="true" t="shared" si="3" ref="O47:O57">N47</f>
        <v>0</v>
      </c>
      <c r="P47" s="482">
        <v>5</v>
      </c>
      <c r="Q47" s="484">
        <f t="shared" si="2"/>
        <v>0</v>
      </c>
      <c r="S47" s="130"/>
      <c r="T47" s="130"/>
    </row>
    <row r="48" spans="1:20" ht="15.75">
      <c r="A48" s="393"/>
      <c r="B48" s="426"/>
      <c r="C48" s="390" t="s">
        <v>504</v>
      </c>
      <c r="D48" s="390"/>
      <c r="I48" s="425">
        <f>'CUARTEL GENERAL'!K31+'CUARTEL GENERAL'!K32</f>
        <v>0</v>
      </c>
      <c r="J48" s="425">
        <v>3</v>
      </c>
      <c r="K48" s="425">
        <f t="shared" si="0"/>
        <v>0</v>
      </c>
      <c r="L48" s="467">
        <f>L41</f>
        <v>1.94</v>
      </c>
      <c r="M48" s="467">
        <f>C14</f>
        <v>0.613</v>
      </c>
      <c r="N48" s="468">
        <f t="shared" si="1"/>
        <v>0</v>
      </c>
      <c r="O48" s="470">
        <f t="shared" si="3"/>
        <v>0</v>
      </c>
      <c r="P48" s="482">
        <v>1</v>
      </c>
      <c r="Q48" s="484">
        <f t="shared" si="2"/>
        <v>0</v>
      </c>
      <c r="S48" s="130"/>
      <c r="T48" s="130"/>
    </row>
    <row r="49" spans="1:20" ht="15.75">
      <c r="A49" s="393"/>
      <c r="B49" s="426"/>
      <c r="C49" s="390" t="s">
        <v>491</v>
      </c>
      <c r="D49" s="390"/>
      <c r="I49" s="425">
        <f>'CUARTEL GENERAL'!K33</f>
        <v>0</v>
      </c>
      <c r="J49" s="425">
        <v>3</v>
      </c>
      <c r="K49" s="425">
        <f t="shared" si="0"/>
        <v>0</v>
      </c>
      <c r="L49" s="467">
        <f>L40</f>
        <v>0.09</v>
      </c>
      <c r="M49" s="467">
        <f>$C$14</f>
        <v>0.613</v>
      </c>
      <c r="N49" s="468">
        <f t="shared" si="1"/>
        <v>0</v>
      </c>
      <c r="O49" s="470">
        <f t="shared" si="3"/>
        <v>0</v>
      </c>
      <c r="P49" s="482">
        <v>5</v>
      </c>
      <c r="Q49" s="484">
        <f t="shared" si="2"/>
        <v>0</v>
      </c>
      <c r="S49" s="130"/>
      <c r="T49" s="130"/>
    </row>
    <row r="50" spans="1:20" ht="15.75">
      <c r="A50" s="393"/>
      <c r="B50" s="426"/>
      <c r="C50" s="390" t="s">
        <v>490</v>
      </c>
      <c r="D50" s="390"/>
      <c r="I50" s="425">
        <f>'CUARTEL GENERAL'!K35</f>
        <v>0</v>
      </c>
      <c r="J50" s="425">
        <f>4</f>
        <v>4</v>
      </c>
      <c r="K50" s="425">
        <f t="shared" si="0"/>
        <v>0</v>
      </c>
      <c r="L50" s="467">
        <f>L40</f>
        <v>0.09</v>
      </c>
      <c r="M50" s="467">
        <f>$C$14</f>
        <v>0.613</v>
      </c>
      <c r="N50" s="468">
        <f t="shared" si="1"/>
        <v>0</v>
      </c>
      <c r="O50" s="470">
        <f t="shared" si="3"/>
        <v>0</v>
      </c>
      <c r="P50" s="482">
        <v>5</v>
      </c>
      <c r="Q50" s="484">
        <f t="shared" si="2"/>
        <v>0</v>
      </c>
      <c r="S50" s="130"/>
      <c r="T50" s="130"/>
    </row>
    <row r="51" spans="1:20" ht="15.75">
      <c r="A51" s="393"/>
      <c r="B51" s="426"/>
      <c r="C51" s="390" t="s">
        <v>169</v>
      </c>
      <c r="D51" s="390"/>
      <c r="I51" s="425">
        <f>'CUARTEL GENERAL'!K37+'CUARTEL GENERAL'!K38</f>
        <v>0</v>
      </c>
      <c r="J51" s="425">
        <v>3</v>
      </c>
      <c r="K51" s="425">
        <f t="shared" si="0"/>
        <v>0</v>
      </c>
      <c r="L51" s="467">
        <f>L41</f>
        <v>1.94</v>
      </c>
      <c r="M51" s="467">
        <f>$C$14</f>
        <v>0.613</v>
      </c>
      <c r="N51" s="468">
        <f t="shared" si="1"/>
        <v>0</v>
      </c>
      <c r="O51" s="470">
        <f t="shared" si="3"/>
        <v>0</v>
      </c>
      <c r="P51" s="482">
        <v>1</v>
      </c>
      <c r="Q51" s="484">
        <f t="shared" si="2"/>
        <v>0</v>
      </c>
      <c r="S51" s="130"/>
      <c r="T51" s="130"/>
    </row>
    <row r="52" spans="1:20" ht="15.75">
      <c r="A52" s="393"/>
      <c r="B52" s="426"/>
      <c r="C52" s="111" t="str">
        <f aca="true" t="shared" si="4" ref="C52:C57">C46</f>
        <v>Espada sierra</v>
      </c>
      <c r="D52" s="390"/>
      <c r="I52" s="425">
        <f>'CUARTEL GENERAL'!L27</f>
        <v>0</v>
      </c>
      <c r="J52" s="425">
        <v>5</v>
      </c>
      <c r="K52" s="425">
        <f t="shared" si="0"/>
        <v>0</v>
      </c>
      <c r="L52" s="467">
        <f aca="true" t="shared" si="5" ref="L52:M57">L46</f>
        <v>0.09</v>
      </c>
      <c r="M52" s="467">
        <f t="shared" si="5"/>
        <v>0.613</v>
      </c>
      <c r="N52" s="468">
        <f t="shared" si="1"/>
        <v>0</v>
      </c>
      <c r="O52" s="470">
        <f t="shared" si="3"/>
        <v>0</v>
      </c>
      <c r="P52" s="482">
        <f aca="true" t="shared" si="6" ref="P52:P57">P46</f>
        <v>5</v>
      </c>
      <c r="Q52" s="484">
        <f t="shared" si="2"/>
        <v>0</v>
      </c>
      <c r="S52" s="130"/>
      <c r="T52" s="130"/>
    </row>
    <row r="53" spans="1:20" ht="15.75">
      <c r="A53" s="393"/>
      <c r="B53" s="426"/>
      <c r="C53" s="111" t="str">
        <f t="shared" si="4"/>
        <v>Arma de energía y pistola o arma cuerpo a cuerpo</v>
      </c>
      <c r="D53" s="390"/>
      <c r="I53" s="425">
        <f>'CUARTEL GENERAL'!L29+'CUARTEL GENERAL'!L73+'CUARTEL GENERAL'!L74</f>
        <v>0</v>
      </c>
      <c r="J53" s="425">
        <v>5</v>
      </c>
      <c r="K53" s="425">
        <f t="shared" si="0"/>
        <v>0</v>
      </c>
      <c r="L53" s="467">
        <f t="shared" si="5"/>
        <v>0.09</v>
      </c>
      <c r="M53" s="467">
        <f t="shared" si="5"/>
        <v>0.613</v>
      </c>
      <c r="N53" s="468">
        <f t="shared" si="1"/>
        <v>0</v>
      </c>
      <c r="O53" s="470">
        <f t="shared" si="3"/>
        <v>0</v>
      </c>
      <c r="P53" s="482">
        <f t="shared" si="6"/>
        <v>5</v>
      </c>
      <c r="Q53" s="484">
        <f t="shared" si="2"/>
        <v>0</v>
      </c>
      <c r="S53" s="130"/>
      <c r="T53" s="130"/>
    </row>
    <row r="54" spans="1:20" ht="15.75">
      <c r="A54" s="393"/>
      <c r="B54" s="426"/>
      <c r="C54" s="111" t="str">
        <f t="shared" si="4"/>
        <v>Puño de combate </v>
      </c>
      <c r="D54" s="390"/>
      <c r="I54" s="425">
        <f>'CUARTEL GENERAL'!L31+'CUARTEL GENERAL'!L32</f>
        <v>0</v>
      </c>
      <c r="J54" s="425">
        <v>4</v>
      </c>
      <c r="K54" s="425">
        <f t="shared" si="0"/>
        <v>0</v>
      </c>
      <c r="L54" s="467">
        <f t="shared" si="5"/>
        <v>1.94</v>
      </c>
      <c r="M54" s="467">
        <f t="shared" si="5"/>
        <v>0.613</v>
      </c>
      <c r="N54" s="468">
        <f t="shared" si="1"/>
        <v>0</v>
      </c>
      <c r="O54" s="470">
        <f t="shared" si="3"/>
        <v>0</v>
      </c>
      <c r="P54" s="482">
        <f t="shared" si="6"/>
        <v>1</v>
      </c>
      <c r="Q54" s="484">
        <f t="shared" si="2"/>
        <v>0</v>
      </c>
      <c r="S54" s="130"/>
      <c r="T54" s="130"/>
    </row>
    <row r="55" spans="1:20" ht="15.75">
      <c r="A55" s="393"/>
      <c r="B55" s="426"/>
      <c r="C55" s="111" t="str">
        <f t="shared" si="4"/>
        <v>Garra relámpago</v>
      </c>
      <c r="D55" s="390"/>
      <c r="I55" s="425">
        <f>'CUARTEL GENERAL'!L33</f>
        <v>0</v>
      </c>
      <c r="J55" s="425">
        <v>4</v>
      </c>
      <c r="K55" s="425">
        <f t="shared" si="0"/>
        <v>0</v>
      </c>
      <c r="L55" s="467">
        <f t="shared" si="5"/>
        <v>0.09</v>
      </c>
      <c r="M55" s="467">
        <f t="shared" si="5"/>
        <v>0.613</v>
      </c>
      <c r="N55" s="468">
        <f t="shared" si="1"/>
        <v>0</v>
      </c>
      <c r="O55" s="470">
        <f t="shared" si="3"/>
        <v>0</v>
      </c>
      <c r="P55" s="482">
        <f t="shared" si="6"/>
        <v>5</v>
      </c>
      <c r="Q55" s="484">
        <f t="shared" si="2"/>
        <v>0</v>
      </c>
      <c r="S55" s="130"/>
      <c r="T55" s="130"/>
    </row>
    <row r="56" spans="1:20" ht="15.75">
      <c r="A56" s="393"/>
      <c r="B56" s="426"/>
      <c r="C56" s="111" t="str">
        <f t="shared" si="4"/>
        <v>Garras relámpago</v>
      </c>
      <c r="D56" s="390"/>
      <c r="I56" s="425">
        <f>'CUARTEL GENERAL'!L35</f>
        <v>0</v>
      </c>
      <c r="J56" s="425">
        <v>5</v>
      </c>
      <c r="K56" s="425">
        <f t="shared" si="0"/>
        <v>0</v>
      </c>
      <c r="L56" s="467">
        <f t="shared" si="5"/>
        <v>0.09</v>
      </c>
      <c r="M56" s="467">
        <f t="shared" si="5"/>
        <v>0.613</v>
      </c>
      <c r="N56" s="468">
        <f t="shared" si="1"/>
        <v>0</v>
      </c>
      <c r="O56" s="470">
        <f t="shared" si="3"/>
        <v>0</v>
      </c>
      <c r="P56" s="482">
        <f t="shared" si="6"/>
        <v>5</v>
      </c>
      <c r="Q56" s="484">
        <f t="shared" si="2"/>
        <v>0</v>
      </c>
      <c r="S56" s="130"/>
      <c r="T56" s="130"/>
    </row>
    <row r="57" spans="1:20" ht="15.75">
      <c r="A57" s="393"/>
      <c r="B57" s="426"/>
      <c r="C57" s="111" t="str">
        <f t="shared" si="4"/>
        <v>Martillo del trueno</v>
      </c>
      <c r="D57" s="390"/>
      <c r="I57" s="425">
        <f>'CUARTEL GENERAL'!L37+'CUARTEL GENERAL'!L38</f>
        <v>0</v>
      </c>
      <c r="J57" s="425">
        <v>4</v>
      </c>
      <c r="K57" s="425">
        <f t="shared" si="0"/>
        <v>0</v>
      </c>
      <c r="L57" s="467">
        <f t="shared" si="5"/>
        <v>1.94</v>
      </c>
      <c r="M57" s="467">
        <f t="shared" si="5"/>
        <v>0.613</v>
      </c>
      <c r="N57" s="468">
        <f t="shared" si="1"/>
        <v>0</v>
      </c>
      <c r="O57" s="470">
        <f t="shared" si="3"/>
        <v>0</v>
      </c>
      <c r="P57" s="482">
        <f t="shared" si="6"/>
        <v>1</v>
      </c>
      <c r="Q57" s="484">
        <f t="shared" si="2"/>
        <v>0</v>
      </c>
      <c r="S57" s="130"/>
      <c r="T57" s="130"/>
    </row>
    <row r="58" spans="1:20" ht="15.75">
      <c r="A58" s="393">
        <v>6</v>
      </c>
      <c r="B58" s="426" t="s">
        <v>513</v>
      </c>
      <c r="C58" s="390"/>
      <c r="D58" s="390"/>
      <c r="I58" s="425"/>
      <c r="J58" s="425"/>
      <c r="K58" s="425"/>
      <c r="L58" s="467"/>
      <c r="M58" s="467"/>
      <c r="N58" s="468"/>
      <c r="O58" s="470"/>
      <c r="P58" s="482"/>
      <c r="Q58" s="484"/>
      <c r="S58" s="130"/>
      <c r="T58" s="130"/>
    </row>
    <row r="59" spans="1:20" ht="15.75">
      <c r="A59" s="393"/>
      <c r="B59" s="426"/>
      <c r="C59" s="390" t="s">
        <v>502</v>
      </c>
      <c r="D59" s="390"/>
      <c r="I59" s="425">
        <f>'CUARTEL GENERAL'!K40+'CUARTEL GENERAL'!K57</f>
        <v>0</v>
      </c>
      <c r="J59" s="425">
        <f>4+'CUARTEL GENERAL'!E45</f>
        <v>4</v>
      </c>
      <c r="K59" s="425">
        <f>J59*(I59)</f>
        <v>0</v>
      </c>
      <c r="L59" s="467">
        <f>L35</f>
        <v>0.09</v>
      </c>
      <c r="M59" s="467">
        <f>C14</f>
        <v>0.613</v>
      </c>
      <c r="N59" s="468">
        <f>K59*L59*M59</f>
        <v>0</v>
      </c>
      <c r="O59" s="470">
        <f>N59</f>
        <v>0</v>
      </c>
      <c r="P59" s="482">
        <v>5</v>
      </c>
      <c r="Q59" s="484">
        <f>P59*K59</f>
        <v>0</v>
      </c>
      <c r="S59" s="130"/>
      <c r="T59" s="130"/>
    </row>
    <row r="60" spans="1:20" ht="15.75">
      <c r="A60" s="393"/>
      <c r="B60" s="426"/>
      <c r="C60" s="390" t="s">
        <v>503</v>
      </c>
      <c r="D60" s="390"/>
      <c r="I60" s="425">
        <f>'CUARTEL GENERAL'!K42+'CUARTEL GENERAL'!K43+'CUARTEL GENERAL'!K59+'CUARTEL GENERAL'!K60</f>
        <v>0</v>
      </c>
      <c r="J60" s="425">
        <f>3+'CUARTEL GENERAL'!E45</f>
        <v>3</v>
      </c>
      <c r="K60" s="425">
        <f>J60*(I60)</f>
        <v>0</v>
      </c>
      <c r="L60" s="467">
        <f>L41</f>
        <v>1.94</v>
      </c>
      <c r="M60" s="467">
        <f>C14</f>
        <v>0.613</v>
      </c>
      <c r="N60" s="468">
        <f>K60*L60*M60</f>
        <v>0</v>
      </c>
      <c r="O60" s="470">
        <f>N60</f>
        <v>0</v>
      </c>
      <c r="P60" s="482">
        <v>1</v>
      </c>
      <c r="Q60" s="484">
        <f>P60*K60</f>
        <v>0</v>
      </c>
      <c r="S60" s="130"/>
      <c r="T60" s="130"/>
    </row>
    <row r="61" spans="1:20" ht="15.75">
      <c r="A61" s="393"/>
      <c r="B61" s="426"/>
      <c r="C61" s="111" t="s">
        <v>502</v>
      </c>
      <c r="D61" s="390"/>
      <c r="I61" s="425">
        <f>'CUARTEL GENERAL'!L40+'CUARTEL GENERAL'!L57</f>
        <v>0</v>
      </c>
      <c r="J61" s="425">
        <v>5</v>
      </c>
      <c r="K61" s="425">
        <f>J61*(I61)</f>
        <v>0</v>
      </c>
      <c r="L61" s="467">
        <f>L59</f>
        <v>0.09</v>
      </c>
      <c r="M61" s="467">
        <f>M59</f>
        <v>0.613</v>
      </c>
      <c r="N61" s="468">
        <f>K61*L61*M61</f>
        <v>0</v>
      </c>
      <c r="O61" s="470">
        <f>N61</f>
        <v>0</v>
      </c>
      <c r="P61" s="482">
        <v>5</v>
      </c>
      <c r="Q61" s="484">
        <f>P61*K61</f>
        <v>0</v>
      </c>
      <c r="S61" s="130"/>
      <c r="T61" s="130"/>
    </row>
    <row r="62" spans="1:20" ht="15.75">
      <c r="A62" s="393"/>
      <c r="B62" s="426"/>
      <c r="C62" s="111" t="s">
        <v>503</v>
      </c>
      <c r="D62" s="390"/>
      <c r="I62" s="425">
        <f>'CUARTEL GENERAL'!L42+'CUARTEL GENERAL'!L43+'CUARTEL GENERAL'!L59+'CUARTEL GENERAL'!L60</f>
        <v>0</v>
      </c>
      <c r="J62" s="425">
        <v>4</v>
      </c>
      <c r="K62" s="425">
        <f>J62*(I62)</f>
        <v>0</v>
      </c>
      <c r="L62" s="467">
        <f>L60</f>
        <v>1.94</v>
      </c>
      <c r="M62" s="467">
        <f>M60</f>
        <v>0.613</v>
      </c>
      <c r="N62" s="468">
        <f>K62*L62*M62</f>
        <v>0</v>
      </c>
      <c r="O62" s="470">
        <f>N62</f>
        <v>0</v>
      </c>
      <c r="P62" s="482">
        <v>1</v>
      </c>
      <c r="Q62" s="484">
        <f>P62*K62</f>
        <v>0</v>
      </c>
      <c r="S62" s="130"/>
      <c r="T62" s="130"/>
    </row>
    <row r="63" spans="1:20" ht="15.75">
      <c r="A63" s="393">
        <v>7</v>
      </c>
      <c r="B63" s="426" t="s">
        <v>517</v>
      </c>
      <c r="C63" s="111"/>
      <c r="D63" s="390"/>
      <c r="I63" s="425"/>
      <c r="J63" s="425"/>
      <c r="K63" s="425"/>
      <c r="L63" s="467"/>
      <c r="M63" s="467"/>
      <c r="N63" s="468"/>
      <c r="O63" s="470"/>
      <c r="P63" s="482"/>
      <c r="Q63" s="484"/>
      <c r="S63" s="130"/>
      <c r="T63" s="130"/>
    </row>
    <row r="64" spans="1:20" ht="15.75">
      <c r="A64" s="393"/>
      <c r="B64" s="426"/>
      <c r="C64" s="111" t="s">
        <v>494</v>
      </c>
      <c r="D64" s="390"/>
      <c r="I64" s="425">
        <f>'CUARTEL GENERAL'!K75</f>
        <v>0</v>
      </c>
      <c r="J64" s="425">
        <v>3</v>
      </c>
      <c r="K64" s="425">
        <f>J64*(I64)</f>
        <v>0</v>
      </c>
      <c r="L64" s="467">
        <f>L35</f>
        <v>0.09</v>
      </c>
      <c r="M64" s="467">
        <f>C14</f>
        <v>0.613</v>
      </c>
      <c r="N64" s="468">
        <f>K64*L64*M64</f>
        <v>0</v>
      </c>
      <c r="O64" s="470">
        <f>N64</f>
        <v>0</v>
      </c>
      <c r="P64" s="482">
        <v>5</v>
      </c>
      <c r="Q64" s="484">
        <f>P64*K64</f>
        <v>0</v>
      </c>
      <c r="S64" s="130"/>
      <c r="T64" s="130"/>
    </row>
    <row r="65" spans="1:20" ht="15.75">
      <c r="A65" s="393">
        <v>8</v>
      </c>
      <c r="B65" s="426" t="s">
        <v>527</v>
      </c>
      <c r="C65" s="111"/>
      <c r="D65" s="390"/>
      <c r="I65" s="425"/>
      <c r="J65" s="425"/>
      <c r="K65" s="425"/>
      <c r="L65" s="467"/>
      <c r="M65" s="467"/>
      <c r="N65" s="468"/>
      <c r="O65" s="470"/>
      <c r="P65" s="482"/>
      <c r="Q65" s="484"/>
      <c r="S65" s="130"/>
      <c r="T65" s="130"/>
    </row>
    <row r="66" spans="1:20" ht="15.75">
      <c r="A66" s="111"/>
      <c r="B66" s="426"/>
      <c r="C66" s="432" t="s">
        <v>300</v>
      </c>
      <c r="D66" s="390"/>
      <c r="I66" s="425">
        <f>'CUARTEL GENERAL'!K92</f>
        <v>0</v>
      </c>
      <c r="J66" s="425">
        <v>1</v>
      </c>
      <c r="K66" s="425">
        <f aca="true" t="shared" si="7" ref="K66:K75">J66*(I66)</f>
        <v>0</v>
      </c>
      <c r="L66" s="467">
        <f>$I$14</f>
        <v>0.83</v>
      </c>
      <c r="M66" s="467">
        <f>$C$22</f>
        <v>0.16666666666666666</v>
      </c>
      <c r="N66" s="468">
        <f aca="true" t="shared" si="8" ref="N66:N75">K66*L66*M66</f>
        <v>0</v>
      </c>
      <c r="O66" s="470"/>
      <c r="P66" s="482">
        <v>4</v>
      </c>
      <c r="Q66" s="484">
        <f aca="true" t="shared" si="9" ref="Q66:Q75">P66*K66</f>
        <v>0</v>
      </c>
      <c r="S66" s="130"/>
      <c r="T66" s="130"/>
    </row>
    <row r="67" spans="1:20" ht="15.75">
      <c r="A67" s="111"/>
      <c r="B67" s="426"/>
      <c r="C67" s="432" t="s">
        <v>528</v>
      </c>
      <c r="D67" s="390"/>
      <c r="I67" s="425">
        <f>'CUARTEL GENERAL'!K93</f>
        <v>0</v>
      </c>
      <c r="J67" s="425">
        <v>1</v>
      </c>
      <c r="K67" s="425">
        <f t="shared" si="7"/>
        <v>0</v>
      </c>
      <c r="L67" s="467">
        <f>$I$14</f>
        <v>0.83</v>
      </c>
      <c r="M67" s="467">
        <f>$C$22</f>
        <v>0.16666666666666666</v>
      </c>
      <c r="N67" s="468">
        <f t="shared" si="8"/>
        <v>0</v>
      </c>
      <c r="O67" s="470"/>
      <c r="P67" s="482">
        <v>4</v>
      </c>
      <c r="Q67" s="484">
        <f t="shared" si="9"/>
        <v>0</v>
      </c>
      <c r="S67" s="130"/>
      <c r="T67" s="130"/>
    </row>
    <row r="68" spans="1:20" ht="15.75">
      <c r="A68" s="111"/>
      <c r="B68" s="426"/>
      <c r="C68" s="432" t="s">
        <v>529</v>
      </c>
      <c r="D68" s="390"/>
      <c r="I68" s="425">
        <f>'CUARTEL GENERAL'!K96</f>
        <v>0</v>
      </c>
      <c r="J68" s="425">
        <v>1</v>
      </c>
      <c r="K68" s="425">
        <f t="shared" si="7"/>
        <v>0</v>
      </c>
      <c r="L68" s="467">
        <f>$I$14</f>
        <v>0.83</v>
      </c>
      <c r="M68" s="467">
        <f>$C$22</f>
        <v>0.16666666666666666</v>
      </c>
      <c r="N68" s="468">
        <f t="shared" si="8"/>
        <v>0</v>
      </c>
      <c r="O68" s="470">
        <f>N68</f>
        <v>0</v>
      </c>
      <c r="P68" s="482">
        <v>4</v>
      </c>
      <c r="Q68" s="484">
        <f t="shared" si="9"/>
        <v>0</v>
      </c>
      <c r="S68" s="130"/>
      <c r="T68" s="130"/>
    </row>
    <row r="69" spans="1:20" ht="15.75">
      <c r="A69" s="111"/>
      <c r="B69" s="426"/>
      <c r="C69" s="432" t="s">
        <v>492</v>
      </c>
      <c r="D69" s="390"/>
      <c r="I69" s="425">
        <f>'CUARTEL GENERAL'!K97</f>
        <v>0</v>
      </c>
      <c r="J69" s="425">
        <v>1</v>
      </c>
      <c r="K69" s="425">
        <f t="shared" si="7"/>
        <v>0</v>
      </c>
      <c r="L69" s="467">
        <f>$I$14</f>
        <v>0.83</v>
      </c>
      <c r="M69" s="467">
        <f>$C$22</f>
        <v>0.16666666666666666</v>
      </c>
      <c r="N69" s="468">
        <f t="shared" si="8"/>
        <v>0</v>
      </c>
      <c r="O69" s="470">
        <f>N69</f>
        <v>0</v>
      </c>
      <c r="P69" s="482">
        <v>4</v>
      </c>
      <c r="Q69" s="484">
        <f t="shared" si="9"/>
        <v>0</v>
      </c>
      <c r="S69" s="130"/>
      <c r="T69" s="130"/>
    </row>
    <row r="70" spans="1:20" ht="15.75">
      <c r="A70" s="111"/>
      <c r="B70" s="426"/>
      <c r="C70" s="432" t="s">
        <v>504</v>
      </c>
      <c r="D70" s="390"/>
      <c r="I70" s="425">
        <f>'CUARTEL GENERAL'!K100+'CUARTEL GENERAL'!K101</f>
        <v>0</v>
      </c>
      <c r="J70" s="425">
        <v>2</v>
      </c>
      <c r="K70" s="425">
        <f t="shared" si="7"/>
        <v>0</v>
      </c>
      <c r="L70" s="467">
        <f>L41</f>
        <v>1.94</v>
      </c>
      <c r="M70" s="467">
        <f>$C$15</f>
        <v>0.546</v>
      </c>
      <c r="N70" s="468">
        <f t="shared" si="8"/>
        <v>0</v>
      </c>
      <c r="O70" s="470">
        <f>N70</f>
        <v>0</v>
      </c>
      <c r="P70" s="482">
        <v>1</v>
      </c>
      <c r="Q70" s="484">
        <f t="shared" si="9"/>
        <v>0</v>
      </c>
      <c r="S70" s="130"/>
      <c r="T70" s="130"/>
    </row>
    <row r="71" spans="1:20" ht="15.75">
      <c r="A71" s="111"/>
      <c r="B71" s="426"/>
      <c r="C71" s="111" t="s">
        <v>300</v>
      </c>
      <c r="D71" s="390"/>
      <c r="I71" s="425">
        <f>'CUARTEL GENERAL'!L92</f>
        <v>0</v>
      </c>
      <c r="J71" s="425">
        <v>1</v>
      </c>
      <c r="K71" s="425">
        <f t="shared" si="7"/>
        <v>0</v>
      </c>
      <c r="L71" s="467">
        <f aca="true" t="shared" si="10" ref="L71:M74">L66</f>
        <v>0.83</v>
      </c>
      <c r="M71" s="467">
        <f t="shared" si="10"/>
        <v>0.16666666666666666</v>
      </c>
      <c r="N71" s="468">
        <f t="shared" si="8"/>
        <v>0</v>
      </c>
      <c r="O71" s="470"/>
      <c r="P71" s="482">
        <v>4</v>
      </c>
      <c r="Q71" s="484">
        <f t="shared" si="9"/>
        <v>0</v>
      </c>
      <c r="S71" s="130"/>
      <c r="T71" s="130"/>
    </row>
    <row r="72" spans="1:20" ht="15.75">
      <c r="A72" s="111"/>
      <c r="B72" s="426"/>
      <c r="C72" s="111" t="s">
        <v>528</v>
      </c>
      <c r="D72" s="390"/>
      <c r="I72" s="425">
        <f>'CUARTEL GENERAL'!L93</f>
        <v>0</v>
      </c>
      <c r="J72" s="425">
        <v>1</v>
      </c>
      <c r="K72" s="425">
        <f t="shared" si="7"/>
        <v>0</v>
      </c>
      <c r="L72" s="467">
        <f t="shared" si="10"/>
        <v>0.83</v>
      </c>
      <c r="M72" s="467">
        <f t="shared" si="10"/>
        <v>0.16666666666666666</v>
      </c>
      <c r="N72" s="468">
        <f t="shared" si="8"/>
        <v>0</v>
      </c>
      <c r="O72" s="470"/>
      <c r="P72" s="482">
        <v>4</v>
      </c>
      <c r="Q72" s="484">
        <f t="shared" si="9"/>
        <v>0</v>
      </c>
      <c r="S72" s="130"/>
      <c r="T72" s="130"/>
    </row>
    <row r="73" spans="1:20" ht="15.75">
      <c r="A73" s="111"/>
      <c r="B73" s="426"/>
      <c r="C73" s="111" t="s">
        <v>529</v>
      </c>
      <c r="D73" s="390"/>
      <c r="I73" s="425">
        <f>'CUARTEL GENERAL'!L96</f>
        <v>0</v>
      </c>
      <c r="J73" s="425">
        <v>1</v>
      </c>
      <c r="K73" s="425">
        <f t="shared" si="7"/>
        <v>0</v>
      </c>
      <c r="L73" s="467">
        <f t="shared" si="10"/>
        <v>0.83</v>
      </c>
      <c r="M73" s="467">
        <f t="shared" si="10"/>
        <v>0.16666666666666666</v>
      </c>
      <c r="N73" s="468">
        <f t="shared" si="8"/>
        <v>0</v>
      </c>
      <c r="O73" s="470">
        <f>N73</f>
        <v>0</v>
      </c>
      <c r="P73" s="482">
        <v>4</v>
      </c>
      <c r="Q73" s="484">
        <f t="shared" si="9"/>
        <v>0</v>
      </c>
      <c r="S73" s="130"/>
      <c r="T73" s="130"/>
    </row>
    <row r="74" spans="1:20" ht="15.75">
      <c r="A74" s="111"/>
      <c r="B74" s="426"/>
      <c r="C74" s="111" t="s">
        <v>492</v>
      </c>
      <c r="D74" s="390"/>
      <c r="I74" s="425">
        <f>'CUARTEL GENERAL'!L97</f>
        <v>0</v>
      </c>
      <c r="J74" s="425">
        <v>1</v>
      </c>
      <c r="K74" s="425">
        <f t="shared" si="7"/>
        <v>0</v>
      </c>
      <c r="L74" s="467">
        <f t="shared" si="10"/>
        <v>0.83</v>
      </c>
      <c r="M74" s="467">
        <f t="shared" si="10"/>
        <v>0.16666666666666666</v>
      </c>
      <c r="N74" s="468">
        <f t="shared" si="8"/>
        <v>0</v>
      </c>
      <c r="O74" s="470">
        <f>N74</f>
        <v>0</v>
      </c>
      <c r="P74" s="482">
        <v>4</v>
      </c>
      <c r="Q74" s="484">
        <f t="shared" si="9"/>
        <v>0</v>
      </c>
      <c r="S74" s="130"/>
      <c r="T74" s="130"/>
    </row>
    <row r="75" spans="1:20" ht="15.75">
      <c r="A75" s="111"/>
      <c r="B75" s="426"/>
      <c r="C75" s="111" t="s">
        <v>504</v>
      </c>
      <c r="D75" s="390"/>
      <c r="I75" s="425">
        <f>'CUARTEL GENERAL'!L100+'CUARTEL GENERAL'!L101</f>
        <v>0</v>
      </c>
      <c r="J75" s="425">
        <v>3</v>
      </c>
      <c r="K75" s="425">
        <f t="shared" si="7"/>
        <v>0</v>
      </c>
      <c r="L75" s="467">
        <f>L70</f>
        <v>1.94</v>
      </c>
      <c r="M75" s="467">
        <f>$C$15</f>
        <v>0.546</v>
      </c>
      <c r="N75" s="468">
        <f t="shared" si="8"/>
        <v>0</v>
      </c>
      <c r="O75" s="470">
        <f>N75</f>
        <v>0</v>
      </c>
      <c r="P75" s="482">
        <v>1</v>
      </c>
      <c r="Q75" s="484">
        <f t="shared" si="9"/>
        <v>0</v>
      </c>
      <c r="S75" s="130"/>
      <c r="T75" s="130"/>
    </row>
    <row r="76" spans="2:20" ht="16.5" thickBot="1">
      <c r="B76" s="390"/>
      <c r="C76" s="426"/>
      <c r="D76" s="390"/>
      <c r="I76" s="425"/>
      <c r="J76" s="425"/>
      <c r="K76" s="425"/>
      <c r="L76" s="467"/>
      <c r="M76" s="467"/>
      <c r="N76" s="468"/>
      <c r="O76" s="469"/>
      <c r="P76" s="482"/>
      <c r="Q76" s="483"/>
      <c r="S76" s="130"/>
      <c r="T76" s="130"/>
    </row>
    <row r="77" spans="1:20" ht="13.5" thickBot="1">
      <c r="A77" s="389"/>
      <c r="B77" s="388" t="s">
        <v>13</v>
      </c>
      <c r="C77" s="398"/>
      <c r="D77" s="398"/>
      <c r="E77" s="398"/>
      <c r="F77" s="398"/>
      <c r="G77" s="398"/>
      <c r="H77" s="428"/>
      <c r="I77" s="381">
        <f>SUM(I78:I85)</f>
        <v>0</v>
      </c>
      <c r="J77" s="381"/>
      <c r="K77" s="381">
        <f>SUM(K78:K85)</f>
        <v>0</v>
      </c>
      <c r="L77" s="436"/>
      <c r="M77" s="436"/>
      <c r="N77" s="471">
        <f>SUM(N78:N85)</f>
        <v>0</v>
      </c>
      <c r="O77" s="471">
        <f>SUM(O78:O85)</f>
        <v>0</v>
      </c>
      <c r="P77" s="485"/>
      <c r="Q77" s="471">
        <f>SUM(Q78:Q85)</f>
        <v>0</v>
      </c>
      <c r="S77" s="130"/>
      <c r="T77" s="130"/>
    </row>
    <row r="78" spans="1:20" ht="15.75">
      <c r="A78" s="393">
        <v>1</v>
      </c>
      <c r="B78" s="424" t="s">
        <v>425</v>
      </c>
      <c r="C78" s="390"/>
      <c r="D78" s="390"/>
      <c r="I78" s="425"/>
      <c r="J78" s="425"/>
      <c r="K78" s="425"/>
      <c r="L78" s="467"/>
      <c r="M78" s="467"/>
      <c r="N78" s="468"/>
      <c r="O78" s="469"/>
      <c r="P78" s="482"/>
      <c r="Q78" s="483"/>
      <c r="S78" s="130"/>
      <c r="T78" s="130"/>
    </row>
    <row r="79" spans="1:20" ht="12.75">
      <c r="A79" s="393"/>
      <c r="B79" s="390"/>
      <c r="C79" s="390" t="s">
        <v>537</v>
      </c>
      <c r="D79" s="390"/>
      <c r="I79" s="425">
        <f>LINEA!K5</f>
        <v>0</v>
      </c>
      <c r="J79" s="425">
        <v>1</v>
      </c>
      <c r="K79" s="425">
        <f>J79*(I79)</f>
        <v>0</v>
      </c>
      <c r="L79" s="467">
        <f>L66</f>
        <v>0.83</v>
      </c>
      <c r="M79" s="467">
        <f>$C$22</f>
        <v>0.16666666666666666</v>
      </c>
      <c r="N79" s="468">
        <f>K79*L79*M79</f>
        <v>0</v>
      </c>
      <c r="O79" s="469"/>
      <c r="P79" s="482">
        <v>4</v>
      </c>
      <c r="Q79" s="483">
        <f>K79*P79</f>
        <v>0</v>
      </c>
      <c r="S79" s="130"/>
      <c r="T79" s="130"/>
    </row>
    <row r="80" spans="1:20" ht="12.75">
      <c r="A80" s="393"/>
      <c r="B80" s="390"/>
      <c r="C80" s="390" t="s">
        <v>536</v>
      </c>
      <c r="D80" s="390"/>
      <c r="I80" s="425">
        <f>LINEA!K6</f>
        <v>0</v>
      </c>
      <c r="J80" s="425">
        <v>1</v>
      </c>
      <c r="K80" s="425">
        <f>J80*(I80)</f>
        <v>0</v>
      </c>
      <c r="L80" s="467">
        <f>L67</f>
        <v>0.83</v>
      </c>
      <c r="M80" s="467">
        <f>$C$22</f>
        <v>0.16666666666666666</v>
      </c>
      <c r="N80" s="468">
        <f>K80*L80*M80</f>
        <v>0</v>
      </c>
      <c r="O80" s="469"/>
      <c r="P80" s="482">
        <v>4</v>
      </c>
      <c r="Q80" s="483">
        <f>K80*P80</f>
        <v>0</v>
      </c>
      <c r="S80" s="130"/>
      <c r="T80" s="130"/>
    </row>
    <row r="81" spans="1:20" ht="12.75">
      <c r="A81" s="393"/>
      <c r="B81" s="390"/>
      <c r="C81" s="368" t="s">
        <v>535</v>
      </c>
      <c r="D81" s="390"/>
      <c r="I81" s="425">
        <f>LINEA!K8</f>
        <v>0</v>
      </c>
      <c r="J81" s="425">
        <v>1</v>
      </c>
      <c r="K81" s="425">
        <f>J81*(I81)</f>
        <v>0</v>
      </c>
      <c r="L81" s="467">
        <f>L68</f>
        <v>0.83</v>
      </c>
      <c r="M81" s="467">
        <f>$C$22</f>
        <v>0.16666666666666666</v>
      </c>
      <c r="N81" s="468">
        <f>K81*L81*M81</f>
        <v>0</v>
      </c>
      <c r="O81" s="470"/>
      <c r="P81" s="482">
        <v>4</v>
      </c>
      <c r="Q81" s="483">
        <f>K81*P81</f>
        <v>0</v>
      </c>
      <c r="S81" s="130"/>
      <c r="T81" s="130"/>
    </row>
    <row r="82" spans="1:20" ht="12.75">
      <c r="A82" s="393"/>
      <c r="B82" s="390"/>
      <c r="C82" s="432" t="s">
        <v>492</v>
      </c>
      <c r="D82" s="390"/>
      <c r="I82" s="425">
        <f>LINEA!K10</f>
        <v>0</v>
      </c>
      <c r="J82" s="425">
        <v>1</v>
      </c>
      <c r="K82" s="425">
        <f>J82*(I82)</f>
        <v>0</v>
      </c>
      <c r="L82" s="467">
        <f>L69</f>
        <v>0.83</v>
      </c>
      <c r="M82" s="467">
        <f>$C$22</f>
        <v>0.16666666666666666</v>
      </c>
      <c r="N82" s="468">
        <f>K82*L82*M82</f>
        <v>0</v>
      </c>
      <c r="O82" s="470">
        <f>N82</f>
        <v>0</v>
      </c>
      <c r="P82" s="482">
        <v>4</v>
      </c>
      <c r="Q82" s="483">
        <f>K82*P82</f>
        <v>0</v>
      </c>
      <c r="S82" s="130"/>
      <c r="T82" s="130"/>
    </row>
    <row r="83" spans="1:20" ht="12.75">
      <c r="A83" s="393"/>
      <c r="B83" s="390"/>
      <c r="C83" s="432" t="s">
        <v>504</v>
      </c>
      <c r="D83" s="390"/>
      <c r="I83" s="425">
        <f>LINEA!K12+LINEA!K13</f>
        <v>0</v>
      </c>
      <c r="J83" s="425">
        <v>2</v>
      </c>
      <c r="K83" s="425">
        <f>J83*(I83)</f>
        <v>0</v>
      </c>
      <c r="L83" s="467">
        <f>L70</f>
        <v>1.94</v>
      </c>
      <c r="M83" s="467">
        <f>$C$15</f>
        <v>0.546</v>
      </c>
      <c r="N83" s="468">
        <f>K83*L83*M83</f>
        <v>0</v>
      </c>
      <c r="O83" s="470">
        <f>N83</f>
        <v>0</v>
      </c>
      <c r="P83" s="482">
        <v>1</v>
      </c>
      <c r="Q83" s="483">
        <f>K83*P83</f>
        <v>0</v>
      </c>
      <c r="S83" s="130"/>
      <c r="T83" s="130"/>
    </row>
    <row r="84" spans="1:20" ht="15.75">
      <c r="A84" s="393"/>
      <c r="B84" s="424"/>
      <c r="C84" s="390"/>
      <c r="D84" s="390"/>
      <c r="I84" s="425"/>
      <c r="J84" s="425"/>
      <c r="K84" s="425"/>
      <c r="L84" s="467"/>
      <c r="M84" s="467"/>
      <c r="N84" s="468"/>
      <c r="O84" s="469"/>
      <c r="P84" s="482"/>
      <c r="Q84" s="483"/>
      <c r="S84" s="130"/>
      <c r="T84" s="130"/>
    </row>
    <row r="85" spans="1:20" ht="13.5" thickBot="1">
      <c r="A85" s="393">
        <v>6</v>
      </c>
      <c r="B85" s="390"/>
      <c r="C85" s="390"/>
      <c r="D85" s="390"/>
      <c r="I85" s="425"/>
      <c r="J85" s="425"/>
      <c r="K85" s="425">
        <f>J85*(I85)</f>
        <v>0</v>
      </c>
      <c r="L85" s="467"/>
      <c r="M85" s="467"/>
      <c r="N85" s="468"/>
      <c r="O85" s="469"/>
      <c r="P85" s="482"/>
      <c r="Q85" s="483"/>
      <c r="S85" s="130"/>
      <c r="T85" s="130"/>
    </row>
    <row r="86" spans="1:20" ht="13.5" thickBot="1">
      <c r="A86" s="389"/>
      <c r="B86" s="388" t="s">
        <v>14</v>
      </c>
      <c r="C86" s="398"/>
      <c r="D86" s="398"/>
      <c r="E86" s="398"/>
      <c r="F86" s="398"/>
      <c r="G86" s="398"/>
      <c r="H86" s="428"/>
      <c r="I86" s="381">
        <f>SUM(I87:I126)</f>
        <v>0</v>
      </c>
      <c r="J86" s="381"/>
      <c r="K86" s="381">
        <f>SUM(K87:K126)</f>
        <v>0</v>
      </c>
      <c r="L86" s="436">
        <f>SUM(L87:L126)</f>
        <v>36.87999999999999</v>
      </c>
      <c r="M86" s="436">
        <f>SUM(M87:M126)</f>
        <v>12.540666666666663</v>
      </c>
      <c r="N86" s="471">
        <f>SUM(N87:N126)</f>
        <v>0</v>
      </c>
      <c r="O86" s="471">
        <f>SUM(O87:O126)</f>
        <v>0</v>
      </c>
      <c r="P86" s="485"/>
      <c r="Q86" s="471">
        <f>SUM(Q87:Q126)</f>
        <v>0</v>
      </c>
      <c r="S86" s="130"/>
      <c r="T86" s="130"/>
    </row>
    <row r="87" spans="1:20" ht="15.75">
      <c r="A87" s="393">
        <v>1</v>
      </c>
      <c r="B87" s="424" t="s">
        <v>538</v>
      </c>
      <c r="C87" s="390"/>
      <c r="D87" s="390"/>
      <c r="I87" s="425"/>
      <c r="J87" s="425"/>
      <c r="K87" s="425"/>
      <c r="L87" s="467"/>
      <c r="M87" s="467"/>
      <c r="N87" s="468"/>
      <c r="O87" s="469"/>
      <c r="P87" s="482"/>
      <c r="Q87" s="483"/>
      <c r="S87" s="130"/>
      <c r="T87" s="130"/>
    </row>
    <row r="88" spans="1:20" ht="12.75">
      <c r="A88" s="393"/>
      <c r="B88" s="390"/>
      <c r="C88" s="390" t="s">
        <v>186</v>
      </c>
      <c r="D88" s="390"/>
      <c r="I88" s="425">
        <f>ELITE!K13</f>
        <v>0</v>
      </c>
      <c r="J88" s="425">
        <v>2</v>
      </c>
      <c r="K88" s="425">
        <f>I88*J88</f>
        <v>0</v>
      </c>
      <c r="L88" s="468">
        <f>I10</f>
        <v>2.96</v>
      </c>
      <c r="M88" s="467">
        <f>$C$15</f>
        <v>0.546</v>
      </c>
      <c r="N88" s="468">
        <f>K88*L88*M88</f>
        <v>0</v>
      </c>
      <c r="O88" s="470">
        <f>N88</f>
        <v>0</v>
      </c>
      <c r="P88" s="482">
        <v>4</v>
      </c>
      <c r="Q88" s="484">
        <f>K88*P88</f>
        <v>0</v>
      </c>
      <c r="R88" s="486"/>
      <c r="S88" s="130"/>
      <c r="T88" s="130"/>
    </row>
    <row r="89" spans="1:20" ht="12.75">
      <c r="A89" s="393"/>
      <c r="B89" s="390"/>
      <c r="C89" s="390" t="s">
        <v>300</v>
      </c>
      <c r="D89" s="390"/>
      <c r="I89" s="425">
        <f>ELITE!K12</f>
        <v>0</v>
      </c>
      <c r="J89" s="425">
        <f>2</f>
        <v>2</v>
      </c>
      <c r="K89" s="425">
        <f>I89*J89</f>
        <v>0</v>
      </c>
      <c r="L89" s="468">
        <f>I14</f>
        <v>0.83</v>
      </c>
      <c r="M89" s="467">
        <f>$C$15</f>
        <v>0.546</v>
      </c>
      <c r="N89" s="468">
        <f>K89*L89*M89</f>
        <v>0</v>
      </c>
      <c r="O89" s="470"/>
      <c r="P89" s="482">
        <v>4</v>
      </c>
      <c r="Q89" s="484">
        <f>K89*P89</f>
        <v>0</v>
      </c>
      <c r="R89" s="486"/>
      <c r="S89" s="130"/>
      <c r="T89" s="130"/>
    </row>
    <row r="90" spans="1:20" ht="15.75">
      <c r="A90" s="393">
        <v>2</v>
      </c>
      <c r="B90" s="424" t="s">
        <v>539</v>
      </c>
      <c r="C90" s="390"/>
      <c r="D90" s="390"/>
      <c r="I90" s="425"/>
      <c r="J90" s="425"/>
      <c r="K90" s="425"/>
      <c r="L90" s="467"/>
      <c r="M90" s="467"/>
      <c r="N90" s="468"/>
      <c r="O90" s="469"/>
      <c r="P90" s="482"/>
      <c r="Q90" s="484"/>
      <c r="S90" s="130"/>
      <c r="T90" s="130"/>
    </row>
    <row r="91" spans="1:20" ht="15.75">
      <c r="A91" s="393"/>
      <c r="B91" s="424"/>
      <c r="C91" s="390" t="s">
        <v>540</v>
      </c>
      <c r="D91" s="390"/>
      <c r="I91" s="425">
        <f>ELITE!K5</f>
        <v>0</v>
      </c>
      <c r="J91" s="425">
        <v>2</v>
      </c>
      <c r="K91" s="425">
        <f aca="true" t="shared" si="11" ref="K91:K100">I91*J91</f>
        <v>0</v>
      </c>
      <c r="L91" s="467">
        <f>L35</f>
        <v>0.09</v>
      </c>
      <c r="M91" s="467">
        <f aca="true" t="shared" si="12" ref="M91:M100">$C$15</f>
        <v>0.546</v>
      </c>
      <c r="N91" s="468">
        <f aca="true" t="shared" si="13" ref="N91:N100">K91*L91*M91</f>
        <v>0</v>
      </c>
      <c r="O91" s="470">
        <f aca="true" t="shared" si="14" ref="O91:O100">N91</f>
        <v>0</v>
      </c>
      <c r="P91" s="482">
        <v>4</v>
      </c>
      <c r="Q91" s="484">
        <f aca="true" t="shared" si="15" ref="Q91:Q100">K91*P91</f>
        <v>0</v>
      </c>
      <c r="S91" s="130"/>
      <c r="T91" s="130"/>
    </row>
    <row r="92" spans="1:20" ht="15.75">
      <c r="A92" s="393"/>
      <c r="B92" s="424"/>
      <c r="C92" s="390" t="s">
        <v>541</v>
      </c>
      <c r="D92" s="390"/>
      <c r="I92" s="425">
        <f>ELITE!K8</f>
        <v>0</v>
      </c>
      <c r="J92" s="425">
        <v>3</v>
      </c>
      <c r="K92" s="425">
        <f t="shared" si="11"/>
        <v>0</v>
      </c>
      <c r="L92" s="467">
        <f>L40</f>
        <v>0.09</v>
      </c>
      <c r="M92" s="467">
        <f t="shared" si="12"/>
        <v>0.546</v>
      </c>
      <c r="N92" s="468">
        <f t="shared" si="13"/>
        <v>0</v>
      </c>
      <c r="O92" s="470">
        <f t="shared" si="14"/>
        <v>0</v>
      </c>
      <c r="P92" s="482">
        <v>4</v>
      </c>
      <c r="Q92" s="484">
        <f t="shared" si="15"/>
        <v>0</v>
      </c>
      <c r="S92" s="130"/>
      <c r="T92" s="130"/>
    </row>
    <row r="93" spans="1:20" ht="15.75">
      <c r="A93" s="393"/>
      <c r="B93" s="424"/>
      <c r="C93" s="390" t="s">
        <v>542</v>
      </c>
      <c r="D93" s="390"/>
      <c r="I93" s="425">
        <f>ELITE!K6</f>
        <v>0</v>
      </c>
      <c r="J93" s="425">
        <v>2</v>
      </c>
      <c r="K93" s="425">
        <f t="shared" si="11"/>
        <v>0</v>
      </c>
      <c r="L93" s="467">
        <f>L41</f>
        <v>1.94</v>
      </c>
      <c r="M93" s="467">
        <f t="shared" si="12"/>
        <v>0.546</v>
      </c>
      <c r="N93" s="468">
        <f t="shared" si="13"/>
        <v>0</v>
      </c>
      <c r="O93" s="470">
        <f t="shared" si="14"/>
        <v>0</v>
      </c>
      <c r="P93" s="482">
        <v>1</v>
      </c>
      <c r="Q93" s="484">
        <f t="shared" si="15"/>
        <v>0</v>
      </c>
      <c r="S93" s="130"/>
      <c r="T93" s="130"/>
    </row>
    <row r="94" spans="1:20" ht="15.75">
      <c r="A94" s="393"/>
      <c r="B94" s="424"/>
      <c r="C94" s="390" t="s">
        <v>291</v>
      </c>
      <c r="D94" s="390"/>
      <c r="I94" s="425">
        <f>ELITE!K7</f>
        <v>0</v>
      </c>
      <c r="J94" s="425">
        <v>2</v>
      </c>
      <c r="K94" s="425">
        <f t="shared" si="11"/>
        <v>0</v>
      </c>
      <c r="L94" s="467">
        <f>M12</f>
        <v>3.12</v>
      </c>
      <c r="M94" s="467">
        <f t="shared" si="12"/>
        <v>0.546</v>
      </c>
      <c r="N94" s="468">
        <f t="shared" si="13"/>
        <v>0</v>
      </c>
      <c r="O94" s="470">
        <f t="shared" si="14"/>
        <v>0</v>
      </c>
      <c r="P94" s="482">
        <v>1</v>
      </c>
      <c r="Q94" s="484">
        <f t="shared" si="15"/>
        <v>0</v>
      </c>
      <c r="S94" s="130"/>
      <c r="T94" s="130"/>
    </row>
    <row r="95" spans="1:20" ht="15.75">
      <c r="A95" s="393"/>
      <c r="B95" s="424"/>
      <c r="C95" s="390" t="s">
        <v>169</v>
      </c>
      <c r="D95" s="390"/>
      <c r="I95" s="425">
        <f>ELITE!K9</f>
        <v>0</v>
      </c>
      <c r="J95" s="425">
        <v>2</v>
      </c>
      <c r="K95" s="425">
        <f t="shared" si="11"/>
        <v>0</v>
      </c>
      <c r="L95" s="467">
        <f>L41</f>
        <v>1.94</v>
      </c>
      <c r="M95" s="467">
        <f t="shared" si="12"/>
        <v>0.546</v>
      </c>
      <c r="N95" s="468">
        <f t="shared" si="13"/>
        <v>0</v>
      </c>
      <c r="O95" s="470">
        <f t="shared" si="14"/>
        <v>0</v>
      </c>
      <c r="P95" s="482">
        <v>1</v>
      </c>
      <c r="Q95" s="484">
        <f t="shared" si="15"/>
        <v>0</v>
      </c>
      <c r="S95" s="130"/>
      <c r="T95" s="130"/>
    </row>
    <row r="96" spans="1:20" ht="15.75">
      <c r="A96" s="393"/>
      <c r="B96" s="424"/>
      <c r="C96" s="111" t="s">
        <v>540</v>
      </c>
      <c r="D96" s="390"/>
      <c r="I96" s="425">
        <f>ELITE!L5</f>
        <v>0</v>
      </c>
      <c r="J96" s="425">
        <v>3</v>
      </c>
      <c r="K96" s="425">
        <f t="shared" si="11"/>
        <v>0</v>
      </c>
      <c r="L96" s="467">
        <f>L91</f>
        <v>0.09</v>
      </c>
      <c r="M96" s="467">
        <f t="shared" si="12"/>
        <v>0.546</v>
      </c>
      <c r="N96" s="468">
        <f t="shared" si="13"/>
        <v>0</v>
      </c>
      <c r="O96" s="470">
        <f t="shared" si="14"/>
        <v>0</v>
      </c>
      <c r="P96" s="482">
        <v>4</v>
      </c>
      <c r="Q96" s="484">
        <f t="shared" si="15"/>
        <v>0</v>
      </c>
      <c r="S96" s="130"/>
      <c r="T96" s="130"/>
    </row>
    <row r="97" spans="1:20" ht="15.75">
      <c r="A97" s="393"/>
      <c r="B97" s="424"/>
      <c r="C97" s="111" t="s">
        <v>541</v>
      </c>
      <c r="D97" s="390"/>
      <c r="I97" s="425">
        <f>ELITE!L8</f>
        <v>0</v>
      </c>
      <c r="J97" s="425">
        <v>4</v>
      </c>
      <c r="K97" s="425">
        <f t="shared" si="11"/>
        <v>0</v>
      </c>
      <c r="L97" s="467">
        <f>L92</f>
        <v>0.09</v>
      </c>
      <c r="M97" s="467">
        <f t="shared" si="12"/>
        <v>0.546</v>
      </c>
      <c r="N97" s="468">
        <f t="shared" si="13"/>
        <v>0</v>
      </c>
      <c r="O97" s="470">
        <f t="shared" si="14"/>
        <v>0</v>
      </c>
      <c r="P97" s="482">
        <v>4</v>
      </c>
      <c r="Q97" s="484">
        <f t="shared" si="15"/>
        <v>0</v>
      </c>
      <c r="S97" s="130"/>
      <c r="T97" s="130"/>
    </row>
    <row r="98" spans="1:20" ht="15.75">
      <c r="A98" s="393"/>
      <c r="B98" s="424"/>
      <c r="C98" s="111" t="s">
        <v>542</v>
      </c>
      <c r="D98" s="390"/>
      <c r="I98" s="425">
        <f>ELITE!L6</f>
        <v>0</v>
      </c>
      <c r="J98" s="425">
        <v>3</v>
      </c>
      <c r="K98" s="425">
        <f t="shared" si="11"/>
        <v>0</v>
      </c>
      <c r="L98" s="467">
        <f>L93</f>
        <v>1.94</v>
      </c>
      <c r="M98" s="467">
        <f t="shared" si="12"/>
        <v>0.546</v>
      </c>
      <c r="N98" s="468">
        <f t="shared" si="13"/>
        <v>0</v>
      </c>
      <c r="O98" s="470">
        <f t="shared" si="14"/>
        <v>0</v>
      </c>
      <c r="P98" s="482">
        <v>1</v>
      </c>
      <c r="Q98" s="484">
        <f t="shared" si="15"/>
        <v>0</v>
      </c>
      <c r="S98" s="130"/>
      <c r="T98" s="130"/>
    </row>
    <row r="99" spans="1:20" ht="15.75">
      <c r="A99" s="393"/>
      <c r="B99" s="424"/>
      <c r="C99" s="111" t="s">
        <v>291</v>
      </c>
      <c r="D99" s="390"/>
      <c r="I99" s="425">
        <f>ELITE!L7</f>
        <v>0</v>
      </c>
      <c r="J99" s="425">
        <v>3</v>
      </c>
      <c r="K99" s="425">
        <f t="shared" si="11"/>
        <v>0</v>
      </c>
      <c r="L99" s="467">
        <f>L94</f>
        <v>3.12</v>
      </c>
      <c r="M99" s="467">
        <f t="shared" si="12"/>
        <v>0.546</v>
      </c>
      <c r="N99" s="468">
        <f t="shared" si="13"/>
        <v>0</v>
      </c>
      <c r="O99" s="470">
        <f t="shared" si="14"/>
        <v>0</v>
      </c>
      <c r="P99" s="482">
        <v>1</v>
      </c>
      <c r="Q99" s="484">
        <f t="shared" si="15"/>
        <v>0</v>
      </c>
      <c r="S99" s="130"/>
      <c r="T99" s="130"/>
    </row>
    <row r="100" spans="1:20" ht="15.75">
      <c r="A100" s="393"/>
      <c r="B100" s="424"/>
      <c r="C100" s="111" t="s">
        <v>169</v>
      </c>
      <c r="D100" s="390"/>
      <c r="I100" s="425">
        <f>ELITE!L9</f>
        <v>0</v>
      </c>
      <c r="J100" s="425">
        <v>3</v>
      </c>
      <c r="K100" s="425">
        <f t="shared" si="11"/>
        <v>0</v>
      </c>
      <c r="L100" s="467">
        <f>L95</f>
        <v>1.94</v>
      </c>
      <c r="M100" s="467">
        <f t="shared" si="12"/>
        <v>0.546</v>
      </c>
      <c r="N100" s="468">
        <f t="shared" si="13"/>
        <v>0</v>
      </c>
      <c r="O100" s="470">
        <f t="shared" si="14"/>
        <v>0</v>
      </c>
      <c r="P100" s="482">
        <v>1</v>
      </c>
      <c r="Q100" s="484">
        <f t="shared" si="15"/>
        <v>0</v>
      </c>
      <c r="S100" s="130"/>
      <c r="T100" s="130"/>
    </row>
    <row r="101" spans="1:20" ht="15.75">
      <c r="A101" s="393">
        <v>2</v>
      </c>
      <c r="B101" s="424" t="s">
        <v>307</v>
      </c>
      <c r="C101" s="111"/>
      <c r="D101" s="390"/>
      <c r="I101" s="425"/>
      <c r="J101" s="425"/>
      <c r="K101" s="425"/>
      <c r="L101" s="467"/>
      <c r="M101" s="467"/>
      <c r="N101" s="468"/>
      <c r="O101" s="470"/>
      <c r="P101" s="482"/>
      <c r="Q101" s="484"/>
      <c r="S101" s="130"/>
      <c r="T101" s="130"/>
    </row>
    <row r="102" spans="1:20" ht="15.75">
      <c r="A102" s="393"/>
      <c r="B102" s="424"/>
      <c r="C102" s="432" t="s">
        <v>300</v>
      </c>
      <c r="D102" s="390"/>
      <c r="I102" s="425">
        <f>ELITE!K34</f>
        <v>0</v>
      </c>
      <c r="J102" s="425">
        <v>1</v>
      </c>
      <c r="K102" s="425">
        <f aca="true" t="shared" si="16" ref="K102:K107">I102*J102</f>
        <v>0</v>
      </c>
      <c r="L102" s="467">
        <f>$L$35</f>
        <v>0.09</v>
      </c>
      <c r="M102" s="467">
        <f>$C$22</f>
        <v>0.16666666666666666</v>
      </c>
      <c r="N102" s="468">
        <f aca="true" t="shared" si="17" ref="N102:N107">K102*L102*M102</f>
        <v>0</v>
      </c>
      <c r="O102" s="470"/>
      <c r="P102" s="482">
        <v>4</v>
      </c>
      <c r="Q102" s="484">
        <f aca="true" t="shared" si="18" ref="Q102:Q107">K102*P102</f>
        <v>0</v>
      </c>
      <c r="S102" s="130"/>
      <c r="T102" s="130"/>
    </row>
    <row r="103" spans="1:20" ht="15.75">
      <c r="A103" s="393"/>
      <c r="B103" s="424"/>
      <c r="C103" s="111" t="s">
        <v>546</v>
      </c>
      <c r="I103" s="425">
        <f>ELITE!K35</f>
        <v>0</v>
      </c>
      <c r="J103" s="425">
        <v>1</v>
      </c>
      <c r="K103" s="425">
        <f t="shared" si="16"/>
        <v>0</v>
      </c>
      <c r="L103" s="467">
        <f>$L$35</f>
        <v>0.09</v>
      </c>
      <c r="M103" s="467">
        <f>$C$22</f>
        <v>0.16666666666666666</v>
      </c>
      <c r="N103" s="468">
        <f t="shared" si="17"/>
        <v>0</v>
      </c>
      <c r="O103" s="470"/>
      <c r="P103" s="482">
        <v>4</v>
      </c>
      <c r="Q103" s="484">
        <f t="shared" si="18"/>
        <v>0</v>
      </c>
      <c r="S103" s="130"/>
      <c r="T103" s="130"/>
    </row>
    <row r="104" spans="1:20" ht="15.75">
      <c r="A104" s="393"/>
      <c r="B104" s="424"/>
      <c r="C104" s="111" t="s">
        <v>547</v>
      </c>
      <c r="I104" s="425">
        <f>ELITE!K36</f>
        <v>0</v>
      </c>
      <c r="J104" s="425">
        <v>1</v>
      </c>
      <c r="K104" s="425">
        <f t="shared" si="16"/>
        <v>0</v>
      </c>
      <c r="L104" s="467">
        <f>$L$35</f>
        <v>0.09</v>
      </c>
      <c r="M104" s="467">
        <f>$C$22</f>
        <v>0.16666666666666666</v>
      </c>
      <c r="N104" s="468">
        <f t="shared" si="17"/>
        <v>0</v>
      </c>
      <c r="O104" s="470"/>
      <c r="P104" s="482">
        <v>4</v>
      </c>
      <c r="Q104" s="484">
        <f t="shared" si="18"/>
        <v>0</v>
      </c>
      <c r="S104" s="130"/>
      <c r="T104" s="130"/>
    </row>
    <row r="105" spans="1:20" ht="15.75">
      <c r="A105" s="393"/>
      <c r="B105" s="424"/>
      <c r="C105" s="432" t="s">
        <v>548</v>
      </c>
      <c r="D105" s="390"/>
      <c r="I105" s="425">
        <f>ELITE!K38</f>
        <v>0</v>
      </c>
      <c r="J105" s="425">
        <v>1</v>
      </c>
      <c r="K105" s="425">
        <f t="shared" si="16"/>
        <v>0</v>
      </c>
      <c r="L105" s="467">
        <f>$L$35</f>
        <v>0.09</v>
      </c>
      <c r="M105" s="467">
        <f>$C$22</f>
        <v>0.16666666666666666</v>
      </c>
      <c r="N105" s="468">
        <f t="shared" si="17"/>
        <v>0</v>
      </c>
      <c r="O105" s="470"/>
      <c r="P105" s="482">
        <v>4</v>
      </c>
      <c r="Q105" s="484">
        <f t="shared" si="18"/>
        <v>0</v>
      </c>
      <c r="S105" s="130"/>
      <c r="T105" s="130"/>
    </row>
    <row r="106" spans="1:20" ht="15.75">
      <c r="A106" s="393"/>
      <c r="B106" s="424"/>
      <c r="C106" s="432" t="s">
        <v>549</v>
      </c>
      <c r="D106" s="390"/>
      <c r="I106" s="425">
        <f>ELITE!K40</f>
        <v>0</v>
      </c>
      <c r="J106" s="425">
        <v>1</v>
      </c>
      <c r="K106" s="425">
        <f t="shared" si="16"/>
        <v>0</v>
      </c>
      <c r="L106" s="467">
        <f>$L$35</f>
        <v>0.09</v>
      </c>
      <c r="M106" s="467">
        <f>$C$22</f>
        <v>0.16666666666666666</v>
      </c>
      <c r="N106" s="468">
        <f t="shared" si="17"/>
        <v>0</v>
      </c>
      <c r="O106" s="470">
        <f>N106</f>
        <v>0</v>
      </c>
      <c r="P106" s="482">
        <v>4</v>
      </c>
      <c r="Q106" s="484">
        <f t="shared" si="18"/>
        <v>0</v>
      </c>
      <c r="S106" s="130"/>
      <c r="T106" s="130"/>
    </row>
    <row r="107" spans="1:20" ht="15.75">
      <c r="A107" s="393"/>
      <c r="B107" s="424"/>
      <c r="C107" s="432" t="s">
        <v>550</v>
      </c>
      <c r="D107" s="390"/>
      <c r="I107" s="425">
        <f>ELITE!K42+ELITE!K43</f>
        <v>0</v>
      </c>
      <c r="J107" s="425">
        <v>2</v>
      </c>
      <c r="K107" s="425">
        <f t="shared" si="16"/>
        <v>0</v>
      </c>
      <c r="L107" s="467">
        <f>L41</f>
        <v>1.94</v>
      </c>
      <c r="M107" s="467">
        <f>$C$15</f>
        <v>0.546</v>
      </c>
      <c r="N107" s="468">
        <f t="shared" si="17"/>
        <v>0</v>
      </c>
      <c r="O107" s="470">
        <f>N107</f>
        <v>0</v>
      </c>
      <c r="P107" s="482">
        <v>1</v>
      </c>
      <c r="Q107" s="484">
        <f t="shared" si="18"/>
        <v>0</v>
      </c>
      <c r="S107" s="130"/>
      <c r="T107" s="130"/>
    </row>
    <row r="108" spans="1:20" ht="15.75">
      <c r="A108" s="393">
        <v>3</v>
      </c>
      <c r="B108" s="424" t="s">
        <v>301</v>
      </c>
      <c r="C108" s="432"/>
      <c r="D108" s="390"/>
      <c r="I108" s="425"/>
      <c r="J108" s="425"/>
      <c r="K108" s="425"/>
      <c r="L108" s="467"/>
      <c r="M108" s="467"/>
      <c r="N108" s="468"/>
      <c r="O108" s="470"/>
      <c r="P108" s="482"/>
      <c r="Q108" s="484"/>
      <c r="S108" s="130"/>
      <c r="T108" s="130"/>
    </row>
    <row r="109" spans="1:20" ht="15.75">
      <c r="A109" s="393"/>
      <c r="B109" s="424"/>
      <c r="C109" s="432" t="s">
        <v>266</v>
      </c>
      <c r="D109" s="390"/>
      <c r="I109" s="425">
        <f>ELITE!K23+ELITE!K25</f>
        <v>0</v>
      </c>
      <c r="J109" s="425">
        <v>1</v>
      </c>
      <c r="K109" s="425">
        <f aca="true" t="shared" si="19" ref="K109:K114">I109*J109</f>
        <v>0</v>
      </c>
      <c r="L109" s="467">
        <f>$I$14</f>
        <v>0.83</v>
      </c>
      <c r="M109" s="467">
        <f>$C$22</f>
        <v>0.16666666666666666</v>
      </c>
      <c r="N109" s="468">
        <f aca="true" t="shared" si="20" ref="N109:N114">K109*L109*M109</f>
        <v>0</v>
      </c>
      <c r="O109" s="470">
        <f>N109</f>
        <v>0</v>
      </c>
      <c r="P109" s="482">
        <v>4</v>
      </c>
      <c r="Q109" s="484">
        <f aca="true" t="shared" si="21" ref="Q109:Q114">K109*P109</f>
        <v>0</v>
      </c>
      <c r="S109" s="130"/>
      <c r="T109" s="130"/>
    </row>
    <row r="110" spans="1:20" ht="15.75">
      <c r="A110" s="393"/>
      <c r="B110" s="424"/>
      <c r="C110" s="432" t="s">
        <v>555</v>
      </c>
      <c r="D110" s="390"/>
      <c r="I110" s="425">
        <f>ELITE!K24+ELITE!K26</f>
        <v>0</v>
      </c>
      <c r="J110" s="425">
        <v>1</v>
      </c>
      <c r="K110" s="425">
        <f t="shared" si="19"/>
        <v>0</v>
      </c>
      <c r="L110" s="467">
        <f>$I$14</f>
        <v>0.83</v>
      </c>
      <c r="M110" s="467">
        <f>$C$22</f>
        <v>0.16666666666666666</v>
      </c>
      <c r="N110" s="468">
        <f t="shared" si="20"/>
        <v>0</v>
      </c>
      <c r="O110" s="470">
        <f>N110</f>
        <v>0</v>
      </c>
      <c r="P110" s="482">
        <v>4</v>
      </c>
      <c r="Q110" s="484">
        <f t="shared" si="21"/>
        <v>0</v>
      </c>
      <c r="S110" s="130"/>
      <c r="T110" s="130"/>
    </row>
    <row r="111" spans="1:20" ht="15.75">
      <c r="A111" s="393"/>
      <c r="B111" s="424"/>
      <c r="C111" s="432" t="s">
        <v>552</v>
      </c>
      <c r="D111" s="390"/>
      <c r="I111" s="425">
        <f>ELITE!K23+ELITE!K24</f>
        <v>0</v>
      </c>
      <c r="J111" s="425">
        <v>1</v>
      </c>
      <c r="K111" s="425">
        <f t="shared" si="19"/>
        <v>0</v>
      </c>
      <c r="L111" s="467">
        <f>$L$41</f>
        <v>1.94</v>
      </c>
      <c r="M111" s="467">
        <f>$C$15</f>
        <v>0.546</v>
      </c>
      <c r="N111" s="468">
        <f t="shared" si="20"/>
        <v>0</v>
      </c>
      <c r="O111" s="470">
        <f>N111</f>
        <v>0</v>
      </c>
      <c r="P111" s="482">
        <v>1</v>
      </c>
      <c r="Q111" s="484">
        <f t="shared" si="21"/>
        <v>0</v>
      </c>
      <c r="S111" s="130"/>
      <c r="T111" s="130"/>
    </row>
    <row r="112" spans="1:20" ht="15.75">
      <c r="A112" s="393"/>
      <c r="B112" s="424"/>
      <c r="C112" s="432" t="s">
        <v>558</v>
      </c>
      <c r="D112" s="390"/>
      <c r="I112" s="425">
        <f>ELITE!K25+ELITE!K26</f>
        <v>0</v>
      </c>
      <c r="J112" s="425">
        <v>2</v>
      </c>
      <c r="K112" s="425">
        <f t="shared" si="19"/>
        <v>0</v>
      </c>
      <c r="L112" s="467">
        <f>$L$41</f>
        <v>1.94</v>
      </c>
      <c r="M112" s="467">
        <f>$C$15</f>
        <v>0.546</v>
      </c>
      <c r="N112" s="468">
        <f t="shared" si="20"/>
        <v>0</v>
      </c>
      <c r="O112" s="470">
        <f>N112</f>
        <v>0</v>
      </c>
      <c r="P112" s="482">
        <v>1</v>
      </c>
      <c r="Q112" s="484">
        <f t="shared" si="21"/>
        <v>0</v>
      </c>
      <c r="S112" s="130"/>
      <c r="T112" s="130"/>
    </row>
    <row r="113" spans="1:20" ht="15.75">
      <c r="A113" s="393"/>
      <c r="B113" s="424"/>
      <c r="C113" s="432" t="s">
        <v>553</v>
      </c>
      <c r="D113" s="390"/>
      <c r="I113" s="425">
        <f>ELITE!H29+ELITE!H30+ELITE!H31+ELITE!K27</f>
        <v>0</v>
      </c>
      <c r="J113" s="425">
        <v>1</v>
      </c>
      <c r="K113" s="425">
        <f t="shared" si="19"/>
        <v>0</v>
      </c>
      <c r="L113" s="467">
        <f>I17</f>
        <v>0</v>
      </c>
      <c r="M113" s="467">
        <f>$C$15</f>
        <v>0.546</v>
      </c>
      <c r="N113" s="468">
        <f t="shared" si="20"/>
        <v>0</v>
      </c>
      <c r="O113" s="470"/>
      <c r="P113" s="482">
        <v>3</v>
      </c>
      <c r="Q113" s="484">
        <f t="shared" si="21"/>
        <v>0</v>
      </c>
      <c r="S113" s="130"/>
      <c r="T113" s="130"/>
    </row>
    <row r="114" spans="1:20" ht="15.75">
      <c r="A114" s="393"/>
      <c r="B114" s="424"/>
      <c r="C114" s="432" t="s">
        <v>554</v>
      </c>
      <c r="D114" s="390"/>
      <c r="I114" s="425">
        <f>ELITE!K27</f>
        <v>0</v>
      </c>
      <c r="J114" s="425">
        <v>1</v>
      </c>
      <c r="K114" s="425">
        <f t="shared" si="19"/>
        <v>0</v>
      </c>
      <c r="L114" s="467">
        <f>$L$41</f>
        <v>1.94</v>
      </c>
      <c r="M114" s="467">
        <f>$C$15</f>
        <v>0.546</v>
      </c>
      <c r="N114" s="468">
        <f t="shared" si="20"/>
        <v>0</v>
      </c>
      <c r="O114" s="470">
        <f>N114</f>
        <v>0</v>
      </c>
      <c r="P114" s="482">
        <v>1</v>
      </c>
      <c r="Q114" s="484">
        <f t="shared" si="21"/>
        <v>0</v>
      </c>
      <c r="S114" s="130"/>
      <c r="T114" s="130"/>
    </row>
    <row r="115" spans="1:20" ht="15.75">
      <c r="A115" s="393">
        <v>3</v>
      </c>
      <c r="B115" s="424" t="s">
        <v>308</v>
      </c>
      <c r="C115" s="432"/>
      <c r="D115" s="390"/>
      <c r="I115" s="425"/>
      <c r="J115" s="425"/>
      <c r="K115" s="425"/>
      <c r="L115" s="467"/>
      <c r="M115" s="467"/>
      <c r="N115" s="468"/>
      <c r="O115" s="470"/>
      <c r="P115" s="482"/>
      <c r="Q115" s="484"/>
      <c r="S115" s="130"/>
      <c r="T115" s="130"/>
    </row>
    <row r="116" spans="1:20" ht="15.75">
      <c r="A116" s="393"/>
      <c r="B116" s="424"/>
      <c r="C116" s="432" t="s">
        <v>300</v>
      </c>
      <c r="D116" s="390"/>
      <c r="I116" s="425">
        <f>ELITE!K46</f>
        <v>0</v>
      </c>
      <c r="J116" s="425">
        <v>1</v>
      </c>
      <c r="K116" s="425">
        <f aca="true" t="shared" si="22" ref="K116:K123">I116*J116</f>
        <v>0</v>
      </c>
      <c r="L116" s="467">
        <f>$I$14</f>
        <v>0.83</v>
      </c>
      <c r="M116" s="467">
        <f>$C$22</f>
        <v>0.16666666666666666</v>
      </c>
      <c r="N116" s="468">
        <f aca="true" t="shared" si="23" ref="N116:N123">K116*L116*M116</f>
        <v>0</v>
      </c>
      <c r="O116" s="470"/>
      <c r="P116" s="482">
        <v>4</v>
      </c>
      <c r="Q116" s="484">
        <f aca="true" t="shared" si="24" ref="Q116:Q123">K116*P116</f>
        <v>0</v>
      </c>
      <c r="S116" s="130"/>
      <c r="T116" s="130"/>
    </row>
    <row r="117" spans="1:20" ht="15.75">
      <c r="A117" s="393"/>
      <c r="B117" s="424"/>
      <c r="C117" s="432" t="s">
        <v>528</v>
      </c>
      <c r="D117" s="390"/>
      <c r="I117" s="425">
        <f>ELITE!K48</f>
        <v>0</v>
      </c>
      <c r="J117" s="425">
        <v>1</v>
      </c>
      <c r="K117" s="425">
        <f t="shared" si="22"/>
        <v>0</v>
      </c>
      <c r="L117" s="467">
        <f>$I$14</f>
        <v>0.83</v>
      </c>
      <c r="M117" s="467">
        <f>$C$22</f>
        <v>0.16666666666666666</v>
      </c>
      <c r="N117" s="468">
        <f t="shared" si="23"/>
        <v>0</v>
      </c>
      <c r="O117" s="470"/>
      <c r="P117" s="482">
        <v>4</v>
      </c>
      <c r="Q117" s="484">
        <f t="shared" si="24"/>
        <v>0</v>
      </c>
      <c r="S117" s="130"/>
      <c r="T117" s="130"/>
    </row>
    <row r="118" spans="1:20" ht="15.75">
      <c r="A118" s="393"/>
      <c r="B118" s="424"/>
      <c r="C118" s="432" t="s">
        <v>529</v>
      </c>
      <c r="D118" s="390"/>
      <c r="I118" s="425">
        <f>ELITE!K50</f>
        <v>0</v>
      </c>
      <c r="J118" s="425">
        <v>1</v>
      </c>
      <c r="K118" s="425">
        <f t="shared" si="22"/>
        <v>0</v>
      </c>
      <c r="L118" s="467">
        <f>$I$14</f>
        <v>0.83</v>
      </c>
      <c r="M118" s="467">
        <f>$C$22</f>
        <v>0.16666666666666666</v>
      </c>
      <c r="N118" s="468">
        <f t="shared" si="23"/>
        <v>0</v>
      </c>
      <c r="O118" s="470">
        <f aca="true" t="shared" si="25" ref="O118:O123">N118</f>
        <v>0</v>
      </c>
      <c r="P118" s="482">
        <v>4</v>
      </c>
      <c r="Q118" s="484">
        <f t="shared" si="24"/>
        <v>0</v>
      </c>
      <c r="S118" s="130"/>
      <c r="T118" s="130"/>
    </row>
    <row r="119" spans="1:20" ht="15.75">
      <c r="A119" s="393"/>
      <c r="B119" s="424"/>
      <c r="C119" s="432" t="s">
        <v>492</v>
      </c>
      <c r="D119" s="390"/>
      <c r="I119" s="425">
        <f>ELITE!K52</f>
        <v>0</v>
      </c>
      <c r="J119" s="425">
        <v>1</v>
      </c>
      <c r="K119" s="425">
        <f t="shared" si="22"/>
        <v>0</v>
      </c>
      <c r="L119" s="467">
        <f>$I$14</f>
        <v>0.83</v>
      </c>
      <c r="M119" s="467">
        <f>$C$22</f>
        <v>0.16666666666666666</v>
      </c>
      <c r="N119" s="468">
        <f t="shared" si="23"/>
        <v>0</v>
      </c>
      <c r="O119" s="470">
        <f t="shared" si="25"/>
        <v>0</v>
      </c>
      <c r="P119" s="482">
        <v>4</v>
      </c>
      <c r="Q119" s="484">
        <f t="shared" si="24"/>
        <v>0</v>
      </c>
      <c r="S119" s="130"/>
      <c r="T119" s="130"/>
    </row>
    <row r="120" spans="1:20" ht="15.75">
      <c r="A120" s="393"/>
      <c r="B120" s="424"/>
      <c r="C120" s="432" t="s">
        <v>504</v>
      </c>
      <c r="D120" s="390"/>
      <c r="I120" s="425">
        <f>ELITE!K54+ELITE!K55</f>
        <v>0</v>
      </c>
      <c r="J120" s="425">
        <v>2</v>
      </c>
      <c r="K120" s="425">
        <f t="shared" si="22"/>
        <v>0</v>
      </c>
      <c r="L120" s="467">
        <f>L41</f>
        <v>1.94</v>
      </c>
      <c r="M120" s="467">
        <f>$C$15</f>
        <v>0.546</v>
      </c>
      <c r="N120" s="468">
        <f t="shared" si="23"/>
        <v>0</v>
      </c>
      <c r="O120" s="470">
        <f t="shared" si="25"/>
        <v>0</v>
      </c>
      <c r="P120" s="482">
        <v>1</v>
      </c>
      <c r="Q120" s="484">
        <f t="shared" si="24"/>
        <v>0</v>
      </c>
      <c r="S120" s="130"/>
      <c r="T120" s="130"/>
    </row>
    <row r="121" spans="1:20" ht="15.75">
      <c r="A121" s="393"/>
      <c r="B121" s="424"/>
      <c r="C121" s="432" t="s">
        <v>268</v>
      </c>
      <c r="D121" s="390"/>
      <c r="I121" s="425">
        <f>ELITE!K56</f>
        <v>0</v>
      </c>
      <c r="J121" s="425">
        <v>1</v>
      </c>
      <c r="K121" s="425">
        <f t="shared" si="22"/>
        <v>0</v>
      </c>
      <c r="L121" s="467">
        <f>$I$14</f>
        <v>0.83</v>
      </c>
      <c r="M121" s="467">
        <f>$C$22</f>
        <v>0.16666666666666666</v>
      </c>
      <c r="N121" s="468">
        <f t="shared" si="23"/>
        <v>0</v>
      </c>
      <c r="O121" s="470">
        <f t="shared" si="25"/>
        <v>0</v>
      </c>
      <c r="P121" s="482">
        <v>4</v>
      </c>
      <c r="Q121" s="484">
        <f t="shared" si="24"/>
        <v>0</v>
      </c>
      <c r="S121" s="130"/>
      <c r="T121" s="130"/>
    </row>
    <row r="122" spans="1:20" ht="15.75">
      <c r="A122" s="393"/>
      <c r="B122" s="424"/>
      <c r="C122" s="432" t="s">
        <v>541</v>
      </c>
      <c r="D122" s="390"/>
      <c r="I122" s="425">
        <f>ELITE!K58</f>
        <v>0</v>
      </c>
      <c r="J122" s="425">
        <v>1</v>
      </c>
      <c r="K122" s="425">
        <f t="shared" si="22"/>
        <v>0</v>
      </c>
      <c r="L122" s="467">
        <f>L121</f>
        <v>0.83</v>
      </c>
      <c r="M122" s="467">
        <f>$C$22</f>
        <v>0.16666666666666666</v>
      </c>
      <c r="N122" s="468">
        <f t="shared" si="23"/>
        <v>0</v>
      </c>
      <c r="O122" s="470">
        <f t="shared" si="25"/>
        <v>0</v>
      </c>
      <c r="P122" s="482">
        <v>4</v>
      </c>
      <c r="Q122" s="484">
        <f t="shared" si="24"/>
        <v>0</v>
      </c>
      <c r="S122" s="130"/>
      <c r="T122" s="130"/>
    </row>
    <row r="123" spans="1:20" ht="15.75">
      <c r="A123" s="393"/>
      <c r="B123" s="424"/>
      <c r="C123" s="432" t="s">
        <v>169</v>
      </c>
      <c r="D123" s="390"/>
      <c r="I123" s="425">
        <f>ELITE!K60+ELITE!K61</f>
        <v>0</v>
      </c>
      <c r="J123" s="425">
        <v>2</v>
      </c>
      <c r="K123" s="425">
        <f t="shared" si="22"/>
        <v>0</v>
      </c>
      <c r="L123" s="467">
        <f>L120</f>
        <v>1.94</v>
      </c>
      <c r="M123" s="467">
        <f>$C$15</f>
        <v>0.546</v>
      </c>
      <c r="N123" s="468">
        <f t="shared" si="23"/>
        <v>0</v>
      </c>
      <c r="O123" s="470">
        <f t="shared" si="25"/>
        <v>0</v>
      </c>
      <c r="P123" s="482">
        <v>1</v>
      </c>
      <c r="Q123" s="484">
        <f t="shared" si="24"/>
        <v>0</v>
      </c>
      <c r="S123" s="130"/>
      <c r="T123" s="130"/>
    </row>
    <row r="124" spans="1:20" ht="15.75">
      <c r="A124" s="393"/>
      <c r="B124" s="424"/>
      <c r="C124" s="432"/>
      <c r="D124" s="390"/>
      <c r="I124" s="425"/>
      <c r="J124" s="425"/>
      <c r="K124" s="425"/>
      <c r="L124" s="467"/>
      <c r="M124" s="467"/>
      <c r="N124" s="468"/>
      <c r="O124" s="470"/>
      <c r="P124" s="482"/>
      <c r="Q124" s="484"/>
      <c r="S124" s="130"/>
      <c r="T124" s="130"/>
    </row>
    <row r="125" spans="1:20" ht="15.75">
      <c r="A125" s="393"/>
      <c r="B125" s="424"/>
      <c r="C125" s="432"/>
      <c r="D125" s="390"/>
      <c r="I125" s="425"/>
      <c r="J125" s="425"/>
      <c r="K125" s="425"/>
      <c r="L125" s="467"/>
      <c r="M125" s="467"/>
      <c r="N125" s="468"/>
      <c r="O125" s="470"/>
      <c r="P125" s="482"/>
      <c r="Q125" s="484"/>
      <c r="S125" s="130"/>
      <c r="T125" s="130"/>
    </row>
    <row r="126" spans="1:20" ht="13.5" thickBot="1">
      <c r="A126" s="393">
        <v>3</v>
      </c>
      <c r="B126" s="390"/>
      <c r="C126" s="390"/>
      <c r="D126" s="390"/>
      <c r="I126" s="425"/>
      <c r="J126" s="425"/>
      <c r="K126" s="425">
        <f>I126*J126</f>
        <v>0</v>
      </c>
      <c r="L126" s="467"/>
      <c r="M126" s="467"/>
      <c r="N126" s="468"/>
      <c r="O126" s="469"/>
      <c r="P126" s="482"/>
      <c r="Q126" s="483"/>
      <c r="S126" s="16"/>
      <c r="T126" s="16"/>
    </row>
    <row r="127" spans="1:23" ht="13.5" thickBot="1">
      <c r="A127" s="395"/>
      <c r="B127" s="388" t="s">
        <v>15</v>
      </c>
      <c r="C127" s="388"/>
      <c r="D127" s="398"/>
      <c r="E127" s="398"/>
      <c r="F127" s="398"/>
      <c r="G127" s="398"/>
      <c r="H127" s="428"/>
      <c r="I127" s="381">
        <f>SUM(I128:I143)</f>
        <v>0</v>
      </c>
      <c r="J127" s="381"/>
      <c r="K127" s="381">
        <f>SUM(K128:K143)</f>
        <v>0</v>
      </c>
      <c r="L127" s="436">
        <f>SUM(L128:L143)</f>
        <v>13.29</v>
      </c>
      <c r="M127" s="436">
        <f>SUM(M128:M143)</f>
        <v>3.138</v>
      </c>
      <c r="N127" s="471">
        <f>SUM(N128:N143)</f>
        <v>0</v>
      </c>
      <c r="O127" s="471">
        <f>SUM(O128:O143)</f>
        <v>0</v>
      </c>
      <c r="P127" s="485"/>
      <c r="Q127" s="471">
        <f>SUM(Q128:Q143)</f>
        <v>0</v>
      </c>
      <c r="R127" s="113"/>
      <c r="S127" s="17"/>
      <c r="T127" s="17"/>
      <c r="U127" s="47"/>
      <c r="V127" s="47"/>
      <c r="W127" s="47"/>
    </row>
    <row r="128" spans="1:25" ht="15.75">
      <c r="A128" s="393">
        <v>1</v>
      </c>
      <c r="B128" s="424" t="s">
        <v>443</v>
      </c>
      <c r="C128" s="390"/>
      <c r="D128" s="432"/>
      <c r="I128" s="425"/>
      <c r="J128" s="425"/>
      <c r="K128" s="425"/>
      <c r="L128" s="467"/>
      <c r="M128" s="467"/>
      <c r="N128" s="468"/>
      <c r="O128" s="469"/>
      <c r="P128" s="482"/>
      <c r="Q128" s="483"/>
      <c r="R128" s="113"/>
      <c r="S128" s="17"/>
      <c r="T128" s="17"/>
      <c r="U128" s="17"/>
      <c r="V128" s="17"/>
      <c r="W128" s="17"/>
      <c r="X128" s="16"/>
      <c r="Y128" s="16"/>
    </row>
    <row r="129" spans="1:25" ht="12.75">
      <c r="A129" s="393"/>
      <c r="B129" s="432"/>
      <c r="C129" s="390" t="s">
        <v>566</v>
      </c>
      <c r="D129" s="432"/>
      <c r="I129" s="425">
        <f>'A.RAPIDO'!K5</f>
        <v>0</v>
      </c>
      <c r="J129" s="425">
        <v>1</v>
      </c>
      <c r="K129" s="425">
        <f>J129*(I129)</f>
        <v>0</v>
      </c>
      <c r="L129" s="467">
        <f>$L$79</f>
        <v>0.83</v>
      </c>
      <c r="M129" s="467">
        <f>$C$22</f>
        <v>0.16666666666666666</v>
      </c>
      <c r="N129" s="468">
        <f>K129*L129*M129</f>
        <v>0</v>
      </c>
      <c r="O129" s="469"/>
      <c r="P129" s="482">
        <v>4</v>
      </c>
      <c r="Q129" s="483">
        <f>K129*P129</f>
        <v>0</v>
      </c>
      <c r="R129" s="487"/>
      <c r="S129" s="48"/>
      <c r="T129" s="48"/>
      <c r="U129" s="48"/>
      <c r="V129" s="48"/>
      <c r="W129" s="48"/>
      <c r="X129" s="16"/>
      <c r="Y129" s="16"/>
    </row>
    <row r="130" spans="1:25" ht="12.75">
      <c r="A130" s="393"/>
      <c r="B130" s="432"/>
      <c r="C130" s="390" t="s">
        <v>563</v>
      </c>
      <c r="D130" s="432"/>
      <c r="I130" s="425">
        <f>'A.RAPIDO'!K6</f>
        <v>0</v>
      </c>
      <c r="J130" s="425">
        <v>1</v>
      </c>
      <c r="K130" s="425">
        <f>J130*(I130)</f>
        <v>0</v>
      </c>
      <c r="L130" s="467">
        <f>$L$79</f>
        <v>0.83</v>
      </c>
      <c r="M130" s="467">
        <f>$C$22</f>
        <v>0.16666666666666666</v>
      </c>
      <c r="N130" s="468">
        <f>K130*L130*M130</f>
        <v>0</v>
      </c>
      <c r="O130" s="469"/>
      <c r="P130" s="482">
        <v>4</v>
      </c>
      <c r="Q130" s="483">
        <f>K130*P130</f>
        <v>0</v>
      </c>
      <c r="R130" s="487"/>
      <c r="S130" s="48"/>
      <c r="T130" s="48"/>
      <c r="U130" s="48"/>
      <c r="V130" s="48"/>
      <c r="W130" s="48"/>
      <c r="X130" s="16"/>
      <c r="Y130" s="16"/>
    </row>
    <row r="131" spans="1:25" ht="12.75">
      <c r="A131" s="393"/>
      <c r="B131" s="432"/>
      <c r="C131" s="432" t="s">
        <v>492</v>
      </c>
      <c r="D131" s="432"/>
      <c r="I131" s="425">
        <f>'A.RAPIDO'!K8</f>
        <v>0</v>
      </c>
      <c r="J131" s="425">
        <v>1</v>
      </c>
      <c r="K131" s="425">
        <f>J131*(I131)</f>
        <v>0</v>
      </c>
      <c r="L131" s="467">
        <f>$L$79</f>
        <v>0.83</v>
      </c>
      <c r="M131" s="467">
        <f>$C$22</f>
        <v>0.16666666666666666</v>
      </c>
      <c r="N131" s="468">
        <f>K131*L131*M131</f>
        <v>0</v>
      </c>
      <c r="O131" s="470">
        <f>N131</f>
        <v>0</v>
      </c>
      <c r="P131" s="482">
        <v>4</v>
      </c>
      <c r="Q131" s="483">
        <f>K131*P131</f>
        <v>0</v>
      </c>
      <c r="R131" s="487"/>
      <c r="S131" s="48"/>
      <c r="T131" s="48"/>
      <c r="U131" s="48"/>
      <c r="V131" s="48"/>
      <c r="W131" s="48"/>
      <c r="X131" s="16"/>
      <c r="Y131" s="16"/>
    </row>
    <row r="132" spans="1:25" ht="12.75">
      <c r="A132" s="393"/>
      <c r="B132" s="432"/>
      <c r="C132" s="432" t="s">
        <v>504</v>
      </c>
      <c r="D132" s="432"/>
      <c r="I132" s="425">
        <f>'A.RAPIDO'!K10+'A.RAPIDO'!K11</f>
        <v>0</v>
      </c>
      <c r="J132" s="425">
        <v>2</v>
      </c>
      <c r="K132" s="425">
        <f>J132*(I132)</f>
        <v>0</v>
      </c>
      <c r="L132" s="467">
        <f>L41</f>
        <v>1.94</v>
      </c>
      <c r="M132" s="467">
        <f>$C$15</f>
        <v>0.546</v>
      </c>
      <c r="N132" s="468">
        <f>K132*L132*M132</f>
        <v>0</v>
      </c>
      <c r="O132" s="470">
        <f>N132</f>
        <v>0</v>
      </c>
      <c r="P132" s="482">
        <v>1</v>
      </c>
      <c r="Q132" s="483">
        <f>K132*P132</f>
        <v>0</v>
      </c>
      <c r="R132" s="487"/>
      <c r="S132" s="48"/>
      <c r="T132" s="48"/>
      <c r="U132" s="48"/>
      <c r="V132" s="48"/>
      <c r="W132" s="48"/>
      <c r="X132" s="16"/>
      <c r="Y132" s="16"/>
    </row>
    <row r="133" spans="1:25" ht="15.75">
      <c r="A133" s="393">
        <v>2</v>
      </c>
      <c r="B133" s="424" t="s">
        <v>444</v>
      </c>
      <c r="C133" s="390"/>
      <c r="D133" s="390"/>
      <c r="I133" s="425"/>
      <c r="J133" s="425"/>
      <c r="K133" s="425"/>
      <c r="L133" s="467"/>
      <c r="M133" s="467"/>
      <c r="N133" s="468"/>
      <c r="O133" s="469"/>
      <c r="P133" s="482"/>
      <c r="Q133" s="483"/>
      <c r="R133" s="487"/>
      <c r="S133" s="48"/>
      <c r="T133" s="48"/>
      <c r="U133" s="49"/>
      <c r="V133" s="48"/>
      <c r="W133" s="48"/>
      <c r="X133" s="16"/>
      <c r="Y133" s="16"/>
    </row>
    <row r="134" spans="1:25" ht="15.75">
      <c r="A134" s="393"/>
      <c r="B134" s="424"/>
      <c r="C134" s="390" t="s">
        <v>576</v>
      </c>
      <c r="D134" s="390"/>
      <c r="I134" s="425">
        <f>'A.RAPIDO'!K16</f>
        <v>0</v>
      </c>
      <c r="J134" s="425">
        <v>1</v>
      </c>
      <c r="K134" s="425">
        <f aca="true" t="shared" si="26" ref="K134:K141">J134*(I134)</f>
        <v>0</v>
      </c>
      <c r="L134" s="467">
        <f>$L$79</f>
        <v>0.83</v>
      </c>
      <c r="M134" s="467">
        <f>M129</f>
        <v>0.16666666666666666</v>
      </c>
      <c r="N134" s="468">
        <f aca="true" t="shared" si="27" ref="N134:N141">K134*L134*M134</f>
        <v>0</v>
      </c>
      <c r="O134" s="469"/>
      <c r="P134" s="482">
        <v>4</v>
      </c>
      <c r="Q134" s="483">
        <f aca="true" t="shared" si="28" ref="Q134:Q141">K134*P134</f>
        <v>0</v>
      </c>
      <c r="R134" s="487"/>
      <c r="S134" s="48"/>
      <c r="T134" s="48"/>
      <c r="U134" s="49"/>
      <c r="V134" s="48"/>
      <c r="W134" s="48"/>
      <c r="X134" s="16"/>
      <c r="Y134" s="16"/>
    </row>
    <row r="135" spans="1:25" ht="15.75">
      <c r="A135" s="393"/>
      <c r="B135" s="424"/>
      <c r="C135" s="390" t="s">
        <v>563</v>
      </c>
      <c r="D135" s="390"/>
      <c r="I135" s="425">
        <f>'A.RAPIDO'!K17</f>
        <v>0</v>
      </c>
      <c r="J135" s="425">
        <v>1</v>
      </c>
      <c r="K135" s="425">
        <f t="shared" si="26"/>
        <v>0</v>
      </c>
      <c r="L135" s="467">
        <f>$L$79</f>
        <v>0.83</v>
      </c>
      <c r="M135" s="467">
        <f>M130</f>
        <v>0.16666666666666666</v>
      </c>
      <c r="N135" s="468">
        <f t="shared" si="27"/>
        <v>0</v>
      </c>
      <c r="O135" s="469"/>
      <c r="P135" s="482">
        <v>4</v>
      </c>
      <c r="Q135" s="483">
        <f t="shared" si="28"/>
        <v>0</v>
      </c>
      <c r="R135" s="487"/>
      <c r="S135" s="48"/>
      <c r="T135" s="48"/>
      <c r="U135" s="49"/>
      <c r="V135" s="48"/>
      <c r="W135" s="48"/>
      <c r="X135" s="16"/>
      <c r="Y135" s="16"/>
    </row>
    <row r="136" spans="1:25" ht="15.75">
      <c r="A136" s="393"/>
      <c r="B136" s="424"/>
      <c r="C136" s="432" t="s">
        <v>492</v>
      </c>
      <c r="D136" s="390"/>
      <c r="I136" s="425">
        <f>'A.RAPIDO'!K19</f>
        <v>0</v>
      </c>
      <c r="J136" s="425">
        <v>1</v>
      </c>
      <c r="K136" s="425">
        <f t="shared" si="26"/>
        <v>0</v>
      </c>
      <c r="L136" s="467">
        <f>$L$79</f>
        <v>0.83</v>
      </c>
      <c r="M136" s="467">
        <f>M131</f>
        <v>0.16666666666666666</v>
      </c>
      <c r="N136" s="468">
        <f t="shared" si="27"/>
        <v>0</v>
      </c>
      <c r="O136" s="470">
        <f>N136</f>
        <v>0</v>
      </c>
      <c r="P136" s="482">
        <v>4</v>
      </c>
      <c r="Q136" s="483">
        <f t="shared" si="28"/>
        <v>0</v>
      </c>
      <c r="R136" s="487"/>
      <c r="S136" s="48"/>
      <c r="T136" s="48"/>
      <c r="U136" s="49"/>
      <c r="V136" s="48"/>
      <c r="W136" s="48"/>
      <c r="X136" s="16"/>
      <c r="Y136" s="16"/>
    </row>
    <row r="137" spans="1:25" ht="15.75">
      <c r="A137" s="393"/>
      <c r="B137" s="424"/>
      <c r="C137" s="432" t="s">
        <v>504</v>
      </c>
      <c r="D137" s="390"/>
      <c r="I137" s="425">
        <f>'A.RAPIDO'!K21+'A.RAPIDO'!K22</f>
        <v>0</v>
      </c>
      <c r="J137" s="425">
        <v>2</v>
      </c>
      <c r="K137" s="425">
        <f t="shared" si="26"/>
        <v>0</v>
      </c>
      <c r="L137" s="467">
        <f>L132</f>
        <v>1.94</v>
      </c>
      <c r="M137" s="467">
        <f>$C$15</f>
        <v>0.546</v>
      </c>
      <c r="N137" s="468">
        <f t="shared" si="27"/>
        <v>0</v>
      </c>
      <c r="O137" s="470">
        <f>N137</f>
        <v>0</v>
      </c>
      <c r="P137" s="482">
        <v>1</v>
      </c>
      <c r="Q137" s="483">
        <f t="shared" si="28"/>
        <v>0</v>
      </c>
      <c r="R137" s="487"/>
      <c r="S137" s="48"/>
      <c r="T137" s="48"/>
      <c r="U137" s="49"/>
      <c r="V137" s="48"/>
      <c r="W137" s="48"/>
      <c r="X137" s="16"/>
      <c r="Y137" s="16"/>
    </row>
    <row r="138" spans="1:25" ht="15.75">
      <c r="A138" s="393"/>
      <c r="B138" s="424"/>
      <c r="C138" s="111" t="s">
        <v>576</v>
      </c>
      <c r="D138" s="390"/>
      <c r="I138" s="425">
        <f>'A.RAPIDO'!L16</f>
        <v>0</v>
      </c>
      <c r="J138" s="425">
        <v>1</v>
      </c>
      <c r="K138" s="425">
        <f t="shared" si="26"/>
        <v>0</v>
      </c>
      <c r="L138" s="467">
        <f>$L$79</f>
        <v>0.83</v>
      </c>
      <c r="M138" s="467">
        <f>M134</f>
        <v>0.16666666666666666</v>
      </c>
      <c r="N138" s="468">
        <f t="shared" si="27"/>
        <v>0</v>
      </c>
      <c r="O138" s="469"/>
      <c r="P138" s="482">
        <v>4</v>
      </c>
      <c r="Q138" s="483">
        <f t="shared" si="28"/>
        <v>0</v>
      </c>
      <c r="R138" s="487"/>
      <c r="S138" s="48"/>
      <c r="T138" s="48"/>
      <c r="U138" s="49"/>
      <c r="V138" s="48"/>
      <c r="W138" s="48"/>
      <c r="X138" s="16"/>
      <c r="Y138" s="16"/>
    </row>
    <row r="139" spans="1:25" ht="15.75">
      <c r="A139" s="393"/>
      <c r="B139" s="424"/>
      <c r="C139" s="111" t="s">
        <v>563</v>
      </c>
      <c r="D139" s="390"/>
      <c r="I139" s="425">
        <f>'A.RAPIDO'!L17</f>
        <v>0</v>
      </c>
      <c r="J139" s="425">
        <v>1</v>
      </c>
      <c r="K139" s="425">
        <f t="shared" si="26"/>
        <v>0</v>
      </c>
      <c r="L139" s="467">
        <f>$L$79</f>
        <v>0.83</v>
      </c>
      <c r="M139" s="467">
        <f>M135</f>
        <v>0.16666666666666666</v>
      </c>
      <c r="N139" s="468">
        <f t="shared" si="27"/>
        <v>0</v>
      </c>
      <c r="O139" s="469"/>
      <c r="P139" s="482">
        <v>4</v>
      </c>
      <c r="Q139" s="483">
        <f t="shared" si="28"/>
        <v>0</v>
      </c>
      <c r="R139" s="487"/>
      <c r="S139" s="48"/>
      <c r="T139" s="48"/>
      <c r="U139" s="49"/>
      <c r="V139" s="48"/>
      <c r="W139" s="48"/>
      <c r="X139" s="16"/>
      <c r="Y139" s="16"/>
    </row>
    <row r="140" spans="1:25" ht="15.75">
      <c r="A140" s="393"/>
      <c r="B140" s="424"/>
      <c r="C140" s="111" t="s">
        <v>492</v>
      </c>
      <c r="D140" s="390"/>
      <c r="I140" s="425">
        <f>'A.RAPIDO'!L19</f>
        <v>0</v>
      </c>
      <c r="J140" s="425">
        <v>1</v>
      </c>
      <c r="K140" s="425">
        <f t="shared" si="26"/>
        <v>0</v>
      </c>
      <c r="L140" s="467">
        <f>$L$79</f>
        <v>0.83</v>
      </c>
      <c r="M140" s="467">
        <f>M136</f>
        <v>0.16666666666666666</v>
      </c>
      <c r="N140" s="468">
        <f t="shared" si="27"/>
        <v>0</v>
      </c>
      <c r="O140" s="470">
        <f>N140</f>
        <v>0</v>
      </c>
      <c r="P140" s="482">
        <v>4</v>
      </c>
      <c r="Q140" s="483">
        <f t="shared" si="28"/>
        <v>0</v>
      </c>
      <c r="R140" s="487"/>
      <c r="S140" s="48"/>
      <c r="T140" s="48"/>
      <c r="U140" s="49"/>
      <c r="V140" s="48"/>
      <c r="W140" s="48"/>
      <c r="X140" s="16"/>
      <c r="Y140" s="16"/>
    </row>
    <row r="141" spans="1:25" ht="15.75">
      <c r="A141" s="393"/>
      <c r="B141" s="424"/>
      <c r="C141" s="111" t="s">
        <v>504</v>
      </c>
      <c r="D141" s="390"/>
      <c r="I141" s="425">
        <f>'A.RAPIDO'!L21+'A.RAPIDO'!L22</f>
        <v>0</v>
      </c>
      <c r="J141" s="425">
        <v>3</v>
      </c>
      <c r="K141" s="425">
        <f t="shared" si="26"/>
        <v>0</v>
      </c>
      <c r="L141" s="467">
        <f>L132</f>
        <v>1.94</v>
      </c>
      <c r="M141" s="467">
        <f>M137</f>
        <v>0.546</v>
      </c>
      <c r="N141" s="468">
        <f t="shared" si="27"/>
        <v>0</v>
      </c>
      <c r="O141" s="470">
        <f>N141</f>
        <v>0</v>
      </c>
      <c r="P141" s="482">
        <v>1</v>
      </c>
      <c r="Q141" s="483">
        <f t="shared" si="28"/>
        <v>0</v>
      </c>
      <c r="R141" s="487"/>
      <c r="S141" s="48"/>
      <c r="T141" s="48"/>
      <c r="U141" s="49"/>
      <c r="V141" s="48"/>
      <c r="W141" s="48"/>
      <c r="X141" s="16"/>
      <c r="Y141" s="16"/>
    </row>
    <row r="142" spans="1:25" ht="15.75">
      <c r="A142" s="393"/>
      <c r="B142" s="424"/>
      <c r="C142" s="390"/>
      <c r="D142" s="390"/>
      <c r="I142" s="425"/>
      <c r="J142" s="425"/>
      <c r="K142" s="425"/>
      <c r="L142" s="467"/>
      <c r="M142" s="467"/>
      <c r="N142" s="468"/>
      <c r="O142" s="469"/>
      <c r="P142" s="482"/>
      <c r="Q142" s="483"/>
      <c r="R142" s="487"/>
      <c r="S142" s="48"/>
      <c r="T142" s="48"/>
      <c r="U142" s="49"/>
      <c r="V142" s="48"/>
      <c r="W142" s="48"/>
      <c r="X142" s="16"/>
      <c r="Y142" s="16"/>
    </row>
    <row r="143" spans="1:25" ht="13.5" thickBot="1">
      <c r="A143" s="393">
        <v>3</v>
      </c>
      <c r="B143" s="390"/>
      <c r="C143" s="390"/>
      <c r="D143" s="390"/>
      <c r="I143" s="425"/>
      <c r="J143" s="425"/>
      <c r="K143" s="425">
        <f>J143*(I143)</f>
        <v>0</v>
      </c>
      <c r="L143" s="467"/>
      <c r="M143" s="467"/>
      <c r="N143" s="468"/>
      <c r="O143" s="469"/>
      <c r="P143" s="482"/>
      <c r="Q143" s="483"/>
      <c r="R143" s="487"/>
      <c r="S143" s="48"/>
      <c r="T143" s="48"/>
      <c r="U143" s="48"/>
      <c r="V143" s="48"/>
      <c r="W143" s="48"/>
      <c r="X143" s="16"/>
      <c r="Y143" s="16"/>
    </row>
    <row r="144" spans="1:25" ht="13.5" thickBot="1">
      <c r="A144" s="389"/>
      <c r="B144" s="388" t="s">
        <v>16</v>
      </c>
      <c r="C144" s="398"/>
      <c r="D144" s="398"/>
      <c r="E144" s="398"/>
      <c r="F144" s="398"/>
      <c r="G144" s="398"/>
      <c r="H144" s="428"/>
      <c r="I144" s="381">
        <f>SUM(I145:I154)</f>
        <v>0</v>
      </c>
      <c r="J144" s="381"/>
      <c r="K144" s="381">
        <f>SUM(K145:K154)</f>
        <v>0</v>
      </c>
      <c r="L144" s="436">
        <f>SUM(L145:L154)</f>
        <v>12.330000000000002</v>
      </c>
      <c r="M144" s="436">
        <f>SUM(M145:M154)</f>
        <v>1.712666666666667</v>
      </c>
      <c r="N144" s="471">
        <f>SUM(N145:N154)</f>
        <v>0</v>
      </c>
      <c r="O144" s="471">
        <f>SUM(O145:O154)</f>
        <v>0</v>
      </c>
      <c r="P144" s="485"/>
      <c r="Q144" s="471">
        <f>SUM(Q145:Q154)</f>
        <v>0</v>
      </c>
      <c r="R144" s="487"/>
      <c r="S144" s="48"/>
      <c r="T144" s="48"/>
      <c r="U144" s="48"/>
      <c r="V144" s="48"/>
      <c r="W144" s="48"/>
      <c r="X144" s="16"/>
      <c r="Y144" s="16"/>
    </row>
    <row r="145" spans="1:25" ht="15.75">
      <c r="A145" s="393">
        <v>1</v>
      </c>
      <c r="B145" s="424" t="s">
        <v>447</v>
      </c>
      <c r="C145" s="390"/>
      <c r="D145" s="390"/>
      <c r="I145" s="425"/>
      <c r="J145" s="425"/>
      <c r="K145" s="425"/>
      <c r="L145" s="467"/>
      <c r="M145" s="467"/>
      <c r="N145" s="472"/>
      <c r="O145" s="469"/>
      <c r="P145" s="482"/>
      <c r="Q145" s="483"/>
      <c r="R145" s="487"/>
      <c r="S145" s="48"/>
      <c r="T145" s="48"/>
      <c r="U145" s="48"/>
      <c r="V145" s="48"/>
      <c r="W145" s="48"/>
      <c r="X145" s="16"/>
      <c r="Y145" s="16"/>
    </row>
    <row r="146" spans="1:25" ht="12.75">
      <c r="A146" s="393"/>
      <c r="B146" s="390"/>
      <c r="C146" s="390" t="s">
        <v>537</v>
      </c>
      <c r="D146" s="390"/>
      <c r="I146" s="425">
        <f>'A.PESADO'!K5</f>
        <v>0</v>
      </c>
      <c r="J146" s="425">
        <v>1</v>
      </c>
      <c r="K146" s="425">
        <f aca="true" t="shared" si="29" ref="K146:K154">J146*(I146)</f>
        <v>0</v>
      </c>
      <c r="L146" s="467">
        <f>$L$74</f>
        <v>0.83</v>
      </c>
      <c r="M146" s="468">
        <f>$C$22</f>
        <v>0.16666666666666666</v>
      </c>
      <c r="N146" s="425">
        <f aca="true" t="shared" si="30" ref="N146:N153">K146*L146*M146</f>
        <v>0</v>
      </c>
      <c r="O146" s="469"/>
      <c r="P146" s="482">
        <v>4</v>
      </c>
      <c r="Q146" s="483">
        <f aca="true" t="shared" si="31" ref="Q146:Q153">K146*P146</f>
        <v>0</v>
      </c>
      <c r="R146" s="488"/>
      <c r="S146" s="48"/>
      <c r="T146" s="48"/>
      <c r="U146" s="48"/>
      <c r="V146" s="48"/>
      <c r="W146" s="48"/>
      <c r="X146" s="16"/>
      <c r="Y146" s="16"/>
    </row>
    <row r="147" spans="1:25" ht="12.75">
      <c r="A147" s="393"/>
      <c r="B147" s="390"/>
      <c r="C147" s="390" t="s">
        <v>536</v>
      </c>
      <c r="D147" s="390"/>
      <c r="I147" s="425">
        <f>'A.PESADO'!K6</f>
        <v>0</v>
      </c>
      <c r="J147" s="425">
        <v>1</v>
      </c>
      <c r="K147" s="425">
        <f t="shared" si="29"/>
        <v>0</v>
      </c>
      <c r="L147" s="467">
        <f>$L$74</f>
        <v>0.83</v>
      </c>
      <c r="M147" s="468">
        <f>$C$22</f>
        <v>0.16666666666666666</v>
      </c>
      <c r="N147" s="425">
        <f t="shared" si="30"/>
        <v>0</v>
      </c>
      <c r="O147" s="469"/>
      <c r="P147" s="482">
        <v>4</v>
      </c>
      <c r="Q147" s="483">
        <f t="shared" si="31"/>
        <v>0</v>
      </c>
      <c r="R147" s="487"/>
      <c r="S147" s="48"/>
      <c r="T147" s="48"/>
      <c r="U147" s="50"/>
      <c r="V147" s="48"/>
      <c r="W147" s="48"/>
      <c r="X147" s="16"/>
      <c r="Y147" s="16"/>
    </row>
    <row r="148" spans="1:25" ht="12.75">
      <c r="A148" s="393"/>
      <c r="B148" s="390"/>
      <c r="C148" s="368" t="s">
        <v>535</v>
      </c>
      <c r="D148" s="390"/>
      <c r="I148" s="425">
        <f>'A.PESADO'!K8</f>
        <v>0</v>
      </c>
      <c r="J148" s="425">
        <v>1</v>
      </c>
      <c r="K148" s="425">
        <f t="shared" si="29"/>
        <v>0</v>
      </c>
      <c r="L148" s="467">
        <f>$L$74</f>
        <v>0.83</v>
      </c>
      <c r="M148" s="468">
        <f>$C$22</f>
        <v>0.16666666666666666</v>
      </c>
      <c r="N148" s="425">
        <f t="shared" si="30"/>
        <v>0</v>
      </c>
      <c r="O148" s="469"/>
      <c r="P148" s="482">
        <v>4</v>
      </c>
      <c r="Q148" s="483">
        <f t="shared" si="31"/>
        <v>0</v>
      </c>
      <c r="R148" s="487"/>
      <c r="S148" s="48"/>
      <c r="T148" s="48"/>
      <c r="U148" s="50"/>
      <c r="V148" s="48"/>
      <c r="W148" s="48"/>
      <c r="X148" s="16"/>
      <c r="Y148" s="16"/>
    </row>
    <row r="149" spans="1:25" ht="12.75">
      <c r="A149" s="393"/>
      <c r="B149" s="390"/>
      <c r="C149" s="432" t="s">
        <v>492</v>
      </c>
      <c r="D149" s="390"/>
      <c r="I149" s="425">
        <f>'A.PESADO'!K12</f>
        <v>0</v>
      </c>
      <c r="J149" s="425">
        <v>1</v>
      </c>
      <c r="K149" s="425">
        <f t="shared" si="29"/>
        <v>0</v>
      </c>
      <c r="L149" s="467">
        <f>$L$74</f>
        <v>0.83</v>
      </c>
      <c r="M149" s="468">
        <f>$C$22</f>
        <v>0.16666666666666666</v>
      </c>
      <c r="N149" s="425">
        <f t="shared" si="30"/>
        <v>0</v>
      </c>
      <c r="O149" s="469">
        <f>N149</f>
        <v>0</v>
      </c>
      <c r="P149" s="482">
        <v>4</v>
      </c>
      <c r="Q149" s="483">
        <f t="shared" si="31"/>
        <v>0</v>
      </c>
      <c r="R149" s="487"/>
      <c r="S149" s="48"/>
      <c r="T149" s="48"/>
      <c r="U149" s="50"/>
      <c r="V149" s="48"/>
      <c r="W149" s="48"/>
      <c r="X149" s="16"/>
      <c r="Y149" s="16"/>
    </row>
    <row r="150" spans="1:25" ht="12.75">
      <c r="A150" s="393"/>
      <c r="B150" s="390"/>
      <c r="C150" s="432" t="s">
        <v>504</v>
      </c>
      <c r="D150" s="390"/>
      <c r="I150" s="425">
        <f>'A.PESADO'!K14+'A.PESADO'!K15</f>
        <v>0</v>
      </c>
      <c r="J150" s="425">
        <v>2</v>
      </c>
      <c r="K150" s="425">
        <f t="shared" si="29"/>
        <v>0</v>
      </c>
      <c r="L150" s="467">
        <f>L141</f>
        <v>1.94</v>
      </c>
      <c r="M150" s="468">
        <f>$C$15</f>
        <v>0.546</v>
      </c>
      <c r="N150" s="425">
        <f t="shared" si="30"/>
        <v>0</v>
      </c>
      <c r="O150" s="469">
        <f>N150</f>
        <v>0</v>
      </c>
      <c r="P150" s="482">
        <v>1</v>
      </c>
      <c r="Q150" s="483">
        <f t="shared" si="31"/>
        <v>0</v>
      </c>
      <c r="R150" s="487"/>
      <c r="S150" s="48"/>
      <c r="T150" s="48"/>
      <c r="U150" s="50"/>
      <c r="V150" s="48"/>
      <c r="W150" s="48"/>
      <c r="X150" s="16"/>
      <c r="Y150" s="16"/>
    </row>
    <row r="151" spans="1:25" ht="12.75">
      <c r="A151" s="393"/>
      <c r="B151" s="390"/>
      <c r="C151" s="432" t="s">
        <v>266</v>
      </c>
      <c r="D151" s="390"/>
      <c r="I151" s="425">
        <f>'A.PESADO'!K10</f>
        <v>0</v>
      </c>
      <c r="J151" s="425">
        <v>1</v>
      </c>
      <c r="K151" s="425">
        <f t="shared" si="29"/>
        <v>0</v>
      </c>
      <c r="L151" s="467">
        <f>$L$74</f>
        <v>0.83</v>
      </c>
      <c r="M151" s="468">
        <f>M149</f>
        <v>0.16666666666666666</v>
      </c>
      <c r="N151" s="425">
        <f t="shared" si="30"/>
        <v>0</v>
      </c>
      <c r="O151" s="469">
        <f>N151</f>
        <v>0</v>
      </c>
      <c r="P151" s="482">
        <v>4</v>
      </c>
      <c r="Q151" s="483">
        <f t="shared" si="31"/>
        <v>0</v>
      </c>
      <c r="R151" s="487"/>
      <c r="S151" s="48"/>
      <c r="T151" s="48"/>
      <c r="U151" s="50"/>
      <c r="V151" s="48"/>
      <c r="W151" s="48"/>
      <c r="X151" s="16"/>
      <c r="Y151" s="16"/>
    </row>
    <row r="152" spans="1:25" ht="12.75">
      <c r="A152" s="393"/>
      <c r="B152" s="390"/>
      <c r="C152" s="432" t="s">
        <v>583</v>
      </c>
      <c r="D152" s="390"/>
      <c r="I152" s="425">
        <f>'CUARTEL GENERAL'!K94+'CUARTEL GENERAL'!K95+'CUARTEL GENERAL'!K98+'CUARTEL GENERAL'!K99+'CUARTEL GENERAL'!L94+'CUARTEL GENERAL'!L95+'CUARTEL GENERAL'!L98+'CUARTEL GENERAL'!L99+LINEA!K7+LINEA!K9+LINEA!K11+ELITE!K37+ELITE!K39+ELITE!K41+ELITE!K47+ELITE!K49+ELITE!K51+ELITE!K53+ELITE!K57+ELITE!K59+'A.RAPIDO'!K7+'A.RAPIDO'!K9+'A.RAPIDO'!K18+'A.RAPIDO'!K20+'A.RAPIDO'!L18+'A.RAPIDO'!L20+'A.PESADO'!K7+'A.PESADO'!K9+'A.PESADO'!K11+'A.PESADO'!K13</f>
        <v>0</v>
      </c>
      <c r="J152" s="425">
        <v>1</v>
      </c>
      <c r="K152" s="425">
        <f t="shared" si="29"/>
        <v>0</v>
      </c>
      <c r="L152" s="467">
        <f>M12</f>
        <v>3.12</v>
      </c>
      <c r="M152" s="468">
        <f>C22</f>
        <v>0.16666666666666666</v>
      </c>
      <c r="N152" s="425">
        <f t="shared" si="30"/>
        <v>0</v>
      </c>
      <c r="O152" s="469"/>
      <c r="P152" s="482">
        <v>4</v>
      </c>
      <c r="Q152" s="483">
        <f t="shared" si="31"/>
        <v>0</v>
      </c>
      <c r="R152" s="487"/>
      <c r="S152" s="48"/>
      <c r="T152" s="48"/>
      <c r="U152" s="50"/>
      <c r="V152" s="48"/>
      <c r="W152" s="48"/>
      <c r="X152" s="16"/>
      <c r="Y152" s="16"/>
    </row>
    <row r="153" spans="1:25" ht="12.75">
      <c r="A153" s="393"/>
      <c r="B153" s="390"/>
      <c r="C153" s="432" t="s">
        <v>584</v>
      </c>
      <c r="D153" s="390"/>
      <c r="I153" s="425">
        <f>'CUARTEL GENERAL'!K28+'CUARTEL GENERAL'!K30+'CUARTEL GENERAL'!K34+'CUARTEL GENERAL'!K36+'CUARTEL GENERAL'!L28+'CUARTEL GENERAL'!L30+'CUARTEL GENERAL'!L34+'CUARTEL GENERAL'!L36+'CUARTEL GENERAL'!K41+'CUARTEL GENERAL'!L41+'CUARTEL GENERAL'!K58+'CUARTEL GENERAL'!L58+'CUARTEL GENERAL'!K74+'CUARTEL GENERAL'!L74</f>
        <v>0</v>
      </c>
      <c r="J153" s="425">
        <v>1</v>
      </c>
      <c r="K153" s="425">
        <f t="shared" si="29"/>
        <v>0</v>
      </c>
      <c r="L153" s="467">
        <f>L152</f>
        <v>3.12</v>
      </c>
      <c r="M153" s="468">
        <f>C22</f>
        <v>0.16666666666666666</v>
      </c>
      <c r="N153" s="425">
        <f t="shared" si="30"/>
        <v>0</v>
      </c>
      <c r="O153" s="469"/>
      <c r="P153" s="482">
        <v>5</v>
      </c>
      <c r="Q153" s="483">
        <f t="shared" si="31"/>
        <v>0</v>
      </c>
      <c r="R153" s="487"/>
      <c r="S153" s="48"/>
      <c r="T153" s="48"/>
      <c r="U153" s="50"/>
      <c r="V153" s="48"/>
      <c r="W153" s="48"/>
      <c r="X153" s="16"/>
      <c r="Y153" s="16"/>
    </row>
    <row r="154" spans="1:25" ht="13.5" thickBot="1">
      <c r="A154" s="393">
        <v>3</v>
      </c>
      <c r="B154" s="390"/>
      <c r="C154" s="390"/>
      <c r="D154" s="390"/>
      <c r="I154" s="425"/>
      <c r="J154" s="425"/>
      <c r="K154" s="425">
        <f t="shared" si="29"/>
        <v>0</v>
      </c>
      <c r="L154" s="467"/>
      <c r="M154" s="467"/>
      <c r="N154" s="473"/>
      <c r="O154" s="469"/>
      <c r="P154" s="482"/>
      <c r="Q154" s="483"/>
      <c r="R154" s="487"/>
      <c r="S154" s="48"/>
      <c r="T154" s="48"/>
      <c r="U154" s="50"/>
      <c r="V154" s="48"/>
      <c r="W154" s="48"/>
      <c r="X154" s="16"/>
      <c r="Y154" s="16"/>
    </row>
    <row r="155" spans="1:25" ht="13.5" thickBot="1">
      <c r="A155" s="389"/>
      <c r="B155" s="388" t="s">
        <v>18</v>
      </c>
      <c r="C155" s="398"/>
      <c r="D155" s="398"/>
      <c r="E155" s="398"/>
      <c r="F155" s="398"/>
      <c r="G155" s="398"/>
      <c r="H155" s="428"/>
      <c r="I155" s="381">
        <f>SUM(I156:I161)</f>
        <v>0</v>
      </c>
      <c r="J155" s="381"/>
      <c r="K155" s="381">
        <f>SUM(K156:K161)</f>
        <v>0</v>
      </c>
      <c r="L155" s="436">
        <f>SUM(L156:L161)</f>
        <v>0</v>
      </c>
      <c r="M155" s="436">
        <f>SUM(M156:M161)</f>
        <v>0</v>
      </c>
      <c r="N155" s="471">
        <f>SUM(N156:N161)</f>
        <v>0</v>
      </c>
      <c r="O155" s="471">
        <f>SUM(O156:O161)</f>
        <v>0</v>
      </c>
      <c r="P155" s="485"/>
      <c r="Q155" s="471">
        <f>SUM(Q156:Q161)</f>
        <v>0</v>
      </c>
      <c r="R155" s="487"/>
      <c r="S155" s="48"/>
      <c r="T155" s="48"/>
      <c r="U155" s="50"/>
      <c r="V155" s="48"/>
      <c r="W155" s="48"/>
      <c r="X155" s="16"/>
      <c r="Y155" s="16"/>
    </row>
    <row r="156" spans="1:25" ht="12.75">
      <c r="A156" s="393">
        <v>1</v>
      </c>
      <c r="B156" s="111"/>
      <c r="C156" s="390"/>
      <c r="D156" s="390"/>
      <c r="H156" s="415"/>
      <c r="I156" s="425"/>
      <c r="J156" s="425"/>
      <c r="K156" s="425">
        <f aca="true" t="shared" si="32" ref="K156:K162">J156*(I156)</f>
        <v>0</v>
      </c>
      <c r="L156" s="467"/>
      <c r="M156" s="467"/>
      <c r="N156" s="468"/>
      <c r="O156" s="469"/>
      <c r="P156" s="482"/>
      <c r="Q156" s="489"/>
      <c r="R156" s="490"/>
      <c r="S156" s="48"/>
      <c r="T156" s="48"/>
      <c r="U156" s="16"/>
      <c r="V156" s="48"/>
      <c r="W156" s="48"/>
      <c r="X156" s="16"/>
      <c r="Y156" s="16"/>
    </row>
    <row r="157" spans="1:25" ht="12.75">
      <c r="A157" s="393">
        <v>2</v>
      </c>
      <c r="B157" s="111"/>
      <c r="C157" s="390"/>
      <c r="D157" s="390"/>
      <c r="H157" s="415"/>
      <c r="I157" s="425"/>
      <c r="J157" s="425"/>
      <c r="K157" s="425">
        <f t="shared" si="32"/>
        <v>0</v>
      </c>
      <c r="L157" s="467"/>
      <c r="M157" s="467"/>
      <c r="N157" s="468"/>
      <c r="O157" s="469"/>
      <c r="P157" s="482"/>
      <c r="Q157" s="483"/>
      <c r="R157" s="487"/>
      <c r="S157" s="48"/>
      <c r="T157" s="48"/>
      <c r="U157" s="50"/>
      <c r="V157" s="48"/>
      <c r="W157" s="48"/>
      <c r="X157" s="16"/>
      <c r="Y157" s="16"/>
    </row>
    <row r="158" spans="1:25" ht="12.75">
      <c r="A158" s="393">
        <v>3</v>
      </c>
      <c r="B158" s="111"/>
      <c r="C158" s="432"/>
      <c r="D158" s="390"/>
      <c r="I158" s="425"/>
      <c r="J158" s="425"/>
      <c r="K158" s="425">
        <f t="shared" si="32"/>
        <v>0</v>
      </c>
      <c r="L158" s="467"/>
      <c r="M158" s="467"/>
      <c r="N158" s="468"/>
      <c r="O158" s="469"/>
      <c r="P158" s="482"/>
      <c r="Q158" s="483"/>
      <c r="R158" s="487"/>
      <c r="S158" s="48"/>
      <c r="T158" s="48"/>
      <c r="U158" s="50"/>
      <c r="V158" s="48"/>
      <c r="W158" s="48"/>
      <c r="X158" s="16"/>
      <c r="Y158" s="16"/>
    </row>
    <row r="159" spans="1:25" ht="12.75">
      <c r="A159" s="393">
        <v>4</v>
      </c>
      <c r="B159" s="111"/>
      <c r="C159" s="390"/>
      <c r="D159" s="390"/>
      <c r="I159" s="425"/>
      <c r="J159" s="425"/>
      <c r="K159" s="425">
        <f t="shared" si="32"/>
        <v>0</v>
      </c>
      <c r="L159" s="467"/>
      <c r="M159" s="467"/>
      <c r="N159" s="468"/>
      <c r="O159" s="469"/>
      <c r="P159" s="482"/>
      <c r="Q159" s="483"/>
      <c r="R159" s="487"/>
      <c r="S159" s="48"/>
      <c r="T159" s="48"/>
      <c r="U159" s="50"/>
      <c r="V159" s="48"/>
      <c r="W159" s="48"/>
      <c r="X159" s="16"/>
      <c r="Y159" s="16"/>
    </row>
    <row r="160" spans="1:25" ht="12.75">
      <c r="A160" s="393">
        <v>5</v>
      </c>
      <c r="B160" s="111"/>
      <c r="C160" s="390"/>
      <c r="D160" s="390"/>
      <c r="I160" s="425"/>
      <c r="J160" s="425"/>
      <c r="K160" s="425">
        <f t="shared" si="32"/>
        <v>0</v>
      </c>
      <c r="L160" s="467"/>
      <c r="M160" s="467"/>
      <c r="N160" s="468"/>
      <c r="O160" s="469"/>
      <c r="P160" s="482"/>
      <c r="Q160" s="483"/>
      <c r="R160" s="487"/>
      <c r="S160" s="48"/>
      <c r="T160" s="48"/>
      <c r="U160" s="50"/>
      <c r="V160" s="48"/>
      <c r="W160" s="48"/>
      <c r="X160" s="16"/>
      <c r="Y160" s="16"/>
    </row>
    <row r="161" spans="1:25" ht="12.75">
      <c r="A161" s="393">
        <v>6</v>
      </c>
      <c r="B161" s="111"/>
      <c r="C161" s="390"/>
      <c r="D161" s="390"/>
      <c r="I161" s="425"/>
      <c r="J161" s="425"/>
      <c r="K161" s="425">
        <f t="shared" si="32"/>
        <v>0</v>
      </c>
      <c r="L161" s="467"/>
      <c r="M161" s="467"/>
      <c r="N161" s="468"/>
      <c r="O161" s="469"/>
      <c r="P161" s="482"/>
      <c r="Q161" s="483"/>
      <c r="R161" s="487"/>
      <c r="S161" s="48"/>
      <c r="T161" s="48"/>
      <c r="U161" s="50"/>
      <c r="V161" s="48"/>
      <c r="W161" s="48"/>
      <c r="X161" s="16"/>
      <c r="Y161" s="16"/>
    </row>
    <row r="162" spans="1:25" ht="13.5" thickBot="1">
      <c r="A162" s="394"/>
      <c r="B162" s="111"/>
      <c r="C162" s="390"/>
      <c r="D162" s="390"/>
      <c r="I162" s="425"/>
      <c r="J162" s="425"/>
      <c r="K162" s="425">
        <f t="shared" si="32"/>
        <v>0</v>
      </c>
      <c r="L162" s="467"/>
      <c r="M162" s="467"/>
      <c r="N162" s="468"/>
      <c r="O162" s="469"/>
      <c r="P162" s="482"/>
      <c r="Q162" s="483"/>
      <c r="R162" s="487"/>
      <c r="S162" s="48"/>
      <c r="T162" s="48"/>
      <c r="U162" s="50"/>
      <c r="V162" s="48"/>
      <c r="W162" s="48"/>
      <c r="X162" s="16"/>
      <c r="Y162" s="16"/>
    </row>
    <row r="163" spans="1:25" ht="13.5" thickBot="1">
      <c r="A163" s="389"/>
      <c r="B163" s="388" t="s">
        <v>1</v>
      </c>
      <c r="C163" s="398"/>
      <c r="D163" s="398"/>
      <c r="E163" s="398"/>
      <c r="F163" s="398"/>
      <c r="G163" s="398"/>
      <c r="H163" s="428"/>
      <c r="I163" s="381">
        <f>I30+I77+I86+I127+I144+I155</f>
        <v>0</v>
      </c>
      <c r="J163" s="381"/>
      <c r="K163" s="434">
        <f>K30+K77+K86+K127+K144+K155</f>
        <v>0</v>
      </c>
      <c r="L163" s="474">
        <f>L30+L77+L86+L127+L144+L155</f>
        <v>62.499999999999986</v>
      </c>
      <c r="M163" s="474">
        <f>M30+M77+M86+M127+M144+M155</f>
        <v>17.39133333333333</v>
      </c>
      <c r="N163" s="446">
        <f>N30+N77+N86+N127+N144+N155</f>
        <v>0</v>
      </c>
      <c r="O163" s="475" t="e">
        <f>((O30+O77+O86+O127+O144+O155)/N163)*100</f>
        <v>#DIV/0!</v>
      </c>
      <c r="P163" s="491"/>
      <c r="Q163" s="492" t="e">
        <f>((Q30+Q77+Q86+Q127+Q144+Q155)/K163)</f>
        <v>#DIV/0!</v>
      </c>
      <c r="R163" s="487"/>
      <c r="S163" s="48"/>
      <c r="T163" s="48"/>
      <c r="U163" s="50"/>
      <c r="V163" s="48"/>
      <c r="W163" s="48"/>
      <c r="X163" s="16"/>
      <c r="Y163" s="16"/>
    </row>
    <row r="164" spans="14:25" ht="13.5" thickBot="1">
      <c r="N164" s="436">
        <f>(-0.00040952*N163*N163)+(N163*0.0908)-0.00014275</f>
        <v>-0.00014275</v>
      </c>
      <c r="O164" s="435" t="s">
        <v>172</v>
      </c>
      <c r="P164" s="435"/>
      <c r="Q164" s="476" t="s">
        <v>177</v>
      </c>
      <c r="R164" s="487"/>
      <c r="S164" s="48"/>
      <c r="T164" s="48"/>
      <c r="U164" s="50"/>
      <c r="V164" s="48"/>
      <c r="W164" s="48"/>
      <c r="X164" s="16"/>
      <c r="Y164" s="16"/>
    </row>
    <row r="165" spans="4:25" ht="12.75">
      <c r="D165" s="435"/>
      <c r="E165" s="476"/>
      <c r="F165" s="477"/>
      <c r="G165" s="476"/>
      <c r="H165" s="477"/>
      <c r="I165" s="435"/>
      <c r="J165" s="435"/>
      <c r="K165" s="435"/>
      <c r="L165" s="435"/>
      <c r="N165" s="435" t="s">
        <v>210</v>
      </c>
      <c r="R165" s="487"/>
      <c r="S165" s="48"/>
      <c r="T165" s="48"/>
      <c r="U165" s="50"/>
      <c r="V165" s="48"/>
      <c r="W165" s="48"/>
      <c r="X165" s="16"/>
      <c r="Y165" s="16"/>
    </row>
    <row r="166" spans="18:25" ht="12.75">
      <c r="R166" s="487"/>
      <c r="S166" s="48"/>
      <c r="T166" s="48"/>
      <c r="U166" s="50"/>
      <c r="V166" s="48"/>
      <c r="W166" s="48"/>
      <c r="X166" s="16"/>
      <c r="Y166" s="16"/>
    </row>
    <row r="167" spans="18:25" ht="12.75">
      <c r="R167" s="490"/>
      <c r="S167" s="48"/>
      <c r="T167" s="48"/>
      <c r="U167" s="16"/>
      <c r="V167" s="48"/>
      <c r="W167" s="48"/>
      <c r="X167" s="16"/>
      <c r="Y167" s="16"/>
    </row>
    <row r="168" spans="18:25" ht="12.75">
      <c r="R168" s="487"/>
      <c r="S168" s="48"/>
      <c r="T168" s="48"/>
      <c r="U168" s="50"/>
      <c r="V168" s="48"/>
      <c r="W168" s="48"/>
      <c r="X168" s="16"/>
      <c r="Y168" s="16"/>
    </row>
    <row r="169" spans="18:25" ht="12.75">
      <c r="R169" s="487"/>
      <c r="S169" s="48"/>
      <c r="T169" s="48"/>
      <c r="U169" s="50"/>
      <c r="V169" s="48"/>
      <c r="W169" s="48"/>
      <c r="X169" s="16"/>
      <c r="Y169" s="16"/>
    </row>
    <row r="170" spans="18:25" ht="12.75">
      <c r="R170" s="487"/>
      <c r="S170" s="48"/>
      <c r="T170" s="48"/>
      <c r="U170" s="50"/>
      <c r="V170" s="48"/>
      <c r="W170" s="48"/>
      <c r="X170" s="16"/>
      <c r="Y170" s="16"/>
    </row>
    <row r="171" spans="18:25" ht="12.75">
      <c r="R171" s="487"/>
      <c r="S171" s="48"/>
      <c r="T171" s="48"/>
      <c r="U171" s="50"/>
      <c r="V171" s="48"/>
      <c r="W171" s="48"/>
      <c r="X171" s="16"/>
      <c r="Y171" s="16"/>
    </row>
    <row r="172" spans="18:25" ht="12.75">
      <c r="R172" s="487"/>
      <c r="S172" s="48"/>
      <c r="T172" s="48"/>
      <c r="U172" s="50"/>
      <c r="V172" s="48"/>
      <c r="W172" s="48"/>
      <c r="X172" s="16"/>
      <c r="Y172" s="16"/>
    </row>
    <row r="173" spans="18:25" ht="12.75">
      <c r="R173" s="487"/>
      <c r="S173" s="48"/>
      <c r="T173" s="48"/>
      <c r="U173" s="50"/>
      <c r="V173" s="48"/>
      <c r="W173" s="48"/>
      <c r="X173" s="16"/>
      <c r="Y173" s="16"/>
    </row>
    <row r="174" spans="18:25" ht="12.75">
      <c r="R174" s="487"/>
      <c r="S174" s="48"/>
      <c r="T174" s="48"/>
      <c r="U174" s="50"/>
      <c r="V174" s="48"/>
      <c r="W174" s="48"/>
      <c r="X174" s="16"/>
      <c r="Y174" s="16"/>
    </row>
    <row r="175" spans="18:25" ht="12.75">
      <c r="R175" s="487"/>
      <c r="S175" s="48"/>
      <c r="T175" s="48"/>
      <c r="U175" s="50"/>
      <c r="V175" s="48"/>
      <c r="W175" s="48"/>
      <c r="X175" s="16"/>
      <c r="Y175" s="16"/>
    </row>
    <row r="176" spans="18:25" ht="12.75">
      <c r="R176" s="487"/>
      <c r="S176" s="48"/>
      <c r="T176" s="48"/>
      <c r="U176" s="50"/>
      <c r="V176" s="48"/>
      <c r="W176" s="48"/>
      <c r="X176" s="16"/>
      <c r="Y176" s="16"/>
    </row>
    <row r="177" spans="18:25" ht="12.75">
      <c r="R177" s="487"/>
      <c r="S177" s="48"/>
      <c r="T177" s="48"/>
      <c r="U177" s="50"/>
      <c r="V177" s="48"/>
      <c r="W177" s="48"/>
      <c r="X177" s="16"/>
      <c r="Y177" s="16"/>
    </row>
    <row r="178" spans="18:25" ht="12.75">
      <c r="R178" s="487"/>
      <c r="S178" s="48"/>
      <c r="T178" s="48"/>
      <c r="U178" s="16"/>
      <c r="V178" s="50"/>
      <c r="W178" s="48"/>
      <c r="X178" s="16"/>
      <c r="Y178" s="16"/>
    </row>
    <row r="179" spans="18:25" ht="12.75">
      <c r="R179" s="487"/>
      <c r="S179" s="48"/>
      <c r="T179" s="48"/>
      <c r="U179" s="50"/>
      <c r="V179" s="48"/>
      <c r="W179" s="48"/>
      <c r="X179" s="16"/>
      <c r="Y179" s="16"/>
    </row>
    <row r="180" spans="18:25" ht="12.75">
      <c r="R180" s="487"/>
      <c r="S180" s="48"/>
      <c r="T180" s="48"/>
      <c r="U180" s="50"/>
      <c r="V180" s="48"/>
      <c r="W180" s="48"/>
      <c r="X180" s="16"/>
      <c r="Y180" s="16"/>
    </row>
    <row r="181" spans="18:25" ht="12.75">
      <c r="R181" s="487"/>
      <c r="S181" s="48"/>
      <c r="T181" s="48"/>
      <c r="U181" s="50"/>
      <c r="V181" s="48"/>
      <c r="W181" s="48"/>
      <c r="X181" s="16"/>
      <c r="Y181" s="16"/>
    </row>
    <row r="182" spans="18:25" ht="12.75">
      <c r="R182" s="487"/>
      <c r="S182" s="48"/>
      <c r="T182" s="48"/>
      <c r="U182" s="50"/>
      <c r="V182" s="48"/>
      <c r="W182" s="48"/>
      <c r="X182" s="16"/>
      <c r="Y182" s="16"/>
    </row>
    <row r="183" spans="18:25" ht="12.75">
      <c r="R183" s="487"/>
      <c r="S183" s="48"/>
      <c r="T183" s="48"/>
      <c r="U183" s="50"/>
      <c r="V183" s="48"/>
      <c r="W183" s="48"/>
      <c r="X183" s="16"/>
      <c r="Y183" s="16"/>
    </row>
    <row r="184" spans="18:25" ht="12.75">
      <c r="R184" s="487"/>
      <c r="S184" s="48"/>
      <c r="T184" s="48"/>
      <c r="U184" s="50"/>
      <c r="V184" s="48"/>
      <c r="W184" s="48"/>
      <c r="X184" s="16"/>
      <c r="Y184" s="16"/>
    </row>
    <row r="185" spans="18:25" ht="12.75">
      <c r="R185" s="487"/>
      <c r="S185" s="48"/>
      <c r="T185" s="48"/>
      <c r="U185" s="50"/>
      <c r="V185" s="48"/>
      <c r="W185" s="48"/>
      <c r="X185" s="16"/>
      <c r="Y185" s="16"/>
    </row>
    <row r="186" spans="18:25" ht="12.75">
      <c r="R186" s="487"/>
      <c r="S186" s="48"/>
      <c r="T186" s="48"/>
      <c r="U186" s="50"/>
      <c r="V186" s="48"/>
      <c r="W186" s="48"/>
      <c r="X186" s="16"/>
      <c r="Y186" s="16"/>
    </row>
    <row r="187" spans="18:25" ht="12.75">
      <c r="R187" s="487"/>
      <c r="S187" s="48"/>
      <c r="T187" s="48"/>
      <c r="U187" s="50"/>
      <c r="V187" s="48"/>
      <c r="W187" s="48"/>
      <c r="X187" s="16"/>
      <c r="Y187" s="16"/>
    </row>
    <row r="188" spans="18:25" ht="12.75">
      <c r="R188" s="487"/>
      <c r="S188" s="48"/>
      <c r="T188" s="48"/>
      <c r="U188" s="50"/>
      <c r="V188" s="48"/>
      <c r="W188" s="48"/>
      <c r="X188" s="16"/>
      <c r="Y188" s="16"/>
    </row>
    <row r="189" spans="18:25" ht="12.75">
      <c r="R189" s="487"/>
      <c r="S189" s="48"/>
      <c r="T189" s="48"/>
      <c r="U189" s="50"/>
      <c r="V189" s="48"/>
      <c r="W189" s="48"/>
      <c r="X189" s="16"/>
      <c r="Y189" s="16"/>
    </row>
    <row r="190" spans="18:25" ht="12.75">
      <c r="R190" s="487"/>
      <c r="S190" s="48"/>
      <c r="T190" s="48"/>
      <c r="U190" s="50"/>
      <c r="V190" s="48"/>
      <c r="W190" s="48"/>
      <c r="X190" s="16"/>
      <c r="Y190" s="16"/>
    </row>
    <row r="191" spans="18:25" ht="12.75">
      <c r="R191" s="487"/>
      <c r="S191" s="48"/>
      <c r="T191" s="48"/>
      <c r="U191" s="48"/>
      <c r="V191" s="48"/>
      <c r="W191" s="48"/>
      <c r="X191" s="16"/>
      <c r="Y191" s="16"/>
    </row>
    <row r="192" spans="18:25" ht="12.75">
      <c r="R192" s="113"/>
      <c r="S192" s="17"/>
      <c r="T192" s="17"/>
      <c r="U192" s="17"/>
      <c r="V192" s="17"/>
      <c r="W192" s="17"/>
      <c r="X192" s="17"/>
      <c r="Y192" s="16"/>
    </row>
    <row r="193" spans="18:25" ht="12.75">
      <c r="R193" s="113"/>
      <c r="S193" s="17"/>
      <c r="T193" s="17"/>
      <c r="U193" s="17"/>
      <c r="V193" s="17"/>
      <c r="W193" s="17"/>
      <c r="X193" s="17"/>
      <c r="Y193" s="16"/>
    </row>
    <row r="194" spans="19:20" ht="12.75">
      <c r="S194" s="16"/>
      <c r="T194" s="16"/>
    </row>
    <row r="195" spans="19:20" ht="12.75">
      <c r="S195" s="16"/>
      <c r="T195" s="16"/>
    </row>
    <row r="196" spans="19:20" ht="12.75">
      <c r="S196" s="16"/>
      <c r="T196" s="16"/>
    </row>
    <row r="197" spans="19:20" ht="12.75">
      <c r="S197" s="16"/>
      <c r="T197" s="16"/>
    </row>
    <row r="198" spans="19:20" ht="12.75">
      <c r="S198" s="16"/>
      <c r="T198" s="16"/>
    </row>
    <row r="199" spans="19:20" ht="12.75">
      <c r="S199" s="16"/>
      <c r="T199" s="16"/>
    </row>
    <row r="200" spans="19:20" ht="12.75">
      <c r="S200" s="16"/>
      <c r="T200" s="16"/>
    </row>
    <row r="201" spans="19:20" ht="12.75">
      <c r="S201" s="16"/>
      <c r="T201" s="16"/>
    </row>
    <row r="202" spans="19:20" ht="12.75">
      <c r="S202" s="16"/>
      <c r="T202" s="16"/>
    </row>
    <row r="203" spans="19:20" ht="12.75">
      <c r="S203" s="16"/>
      <c r="T203" s="16"/>
    </row>
    <row r="204" spans="19:20" ht="12.75">
      <c r="S204" s="16"/>
      <c r="T204" s="16"/>
    </row>
    <row r="205" spans="19:20" ht="12.75">
      <c r="S205" s="16"/>
      <c r="T205" s="16"/>
    </row>
    <row r="206" spans="19:20" ht="12.75">
      <c r="S206" s="16"/>
      <c r="T206" s="16"/>
    </row>
    <row r="207" spans="19:20" ht="12.75">
      <c r="S207" s="16"/>
      <c r="T207" s="16"/>
    </row>
    <row r="208" spans="19:20" ht="12.75">
      <c r="S208" s="16"/>
      <c r="T208" s="16"/>
    </row>
    <row r="209" spans="19:20" ht="12.75">
      <c r="S209" s="16"/>
      <c r="T209" s="16"/>
    </row>
    <row r="210" spans="19:20" ht="12.75">
      <c r="S210" s="16"/>
      <c r="T210" s="16"/>
    </row>
    <row r="211" spans="19:20" ht="12.75">
      <c r="S211" s="16"/>
      <c r="T211" s="16"/>
    </row>
    <row r="212" spans="19:20" ht="12.75">
      <c r="S212" s="16"/>
      <c r="T212" s="16"/>
    </row>
    <row r="213" spans="19:20" ht="12.75">
      <c r="S213" s="16"/>
      <c r="T213" s="16"/>
    </row>
    <row r="214" spans="19:20" ht="12.75">
      <c r="S214" s="16"/>
      <c r="T214" s="16"/>
    </row>
    <row r="215" spans="19:20" ht="12.75">
      <c r="S215" s="16"/>
      <c r="T215" s="16"/>
    </row>
    <row r="216" spans="19:20" ht="12.75">
      <c r="S216" s="16"/>
      <c r="T216" s="16"/>
    </row>
    <row r="217" spans="19:20" ht="12.75">
      <c r="S217" s="16"/>
      <c r="T217" s="16"/>
    </row>
    <row r="218" spans="19:20" ht="12.75">
      <c r="S218" s="16"/>
      <c r="T218" s="16"/>
    </row>
    <row r="219" spans="19:20" ht="12.75">
      <c r="S219" s="16"/>
      <c r="T219" s="16"/>
    </row>
    <row r="220" spans="19:20" ht="12.75">
      <c r="S220" s="16"/>
      <c r="T220" s="16"/>
    </row>
    <row r="221" spans="19:20" ht="12.75">
      <c r="S221" s="16"/>
      <c r="T221" s="16"/>
    </row>
    <row r="222" spans="19:20" ht="12.75">
      <c r="S222" s="16"/>
      <c r="T222" s="16"/>
    </row>
    <row r="223" spans="19:20" ht="12.75">
      <c r="S223" s="16"/>
      <c r="T223" s="16"/>
    </row>
    <row r="224" spans="19:20" ht="12.75">
      <c r="S224" s="16"/>
      <c r="T224" s="16"/>
    </row>
    <row r="225" spans="19:20" ht="12.75">
      <c r="S225" s="16"/>
      <c r="T225" s="16"/>
    </row>
    <row r="226" spans="19:20" ht="12.75">
      <c r="S226" s="16"/>
      <c r="T226" s="16"/>
    </row>
    <row r="227" spans="19:20" ht="12.75">
      <c r="S227" s="16"/>
      <c r="T227" s="16"/>
    </row>
    <row r="228" spans="19:20" ht="12.75">
      <c r="S228" s="16"/>
      <c r="T228" s="16"/>
    </row>
    <row r="229" spans="19:20" ht="12.75">
      <c r="S229" s="16"/>
      <c r="T229" s="16"/>
    </row>
    <row r="230" spans="19:20" ht="12.75">
      <c r="S230" s="16"/>
      <c r="T230" s="16"/>
    </row>
    <row r="231" spans="19:20" ht="12.75">
      <c r="S231" s="16"/>
      <c r="T231" s="16"/>
    </row>
    <row r="232" spans="19:20" ht="12.75">
      <c r="S232" s="16"/>
      <c r="T232" s="16"/>
    </row>
    <row r="233" spans="19:20" ht="12.75">
      <c r="S233" s="16"/>
      <c r="T233" s="16"/>
    </row>
  </sheetData>
  <mergeCells count="4">
    <mergeCell ref="P28:Q28"/>
    <mergeCell ref="H25:I25"/>
    <mergeCell ref="L28:N28"/>
    <mergeCell ref="J28:K28"/>
  </mergeCells>
  <printOptions/>
  <pageMargins left="0.75" right="0.75" top="1" bottom="1" header="0" footer="0"/>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1:Y231"/>
  <sheetViews>
    <sheetView workbookViewId="0" topLeftCell="F1">
      <selection activeCell="P1" sqref="P1:R16384"/>
    </sheetView>
  </sheetViews>
  <sheetFormatPr defaultColWidth="11.421875" defaultRowHeight="12.75"/>
  <cols>
    <col min="1" max="1" width="5.421875" style="368" customWidth="1"/>
    <col min="2" max="2" width="11.421875" style="368" customWidth="1"/>
    <col min="3" max="3" width="8.28125" style="368" customWidth="1"/>
    <col min="4" max="4" width="6.57421875" style="368" customWidth="1"/>
    <col min="5" max="5" width="6.8515625" style="368" customWidth="1"/>
    <col min="6" max="6" width="11.421875" style="368" customWidth="1"/>
    <col min="7" max="7" width="7.7109375" style="368" customWidth="1"/>
    <col min="8" max="8" width="7.140625" style="368" customWidth="1"/>
    <col min="9" max="14" width="11.421875" style="368" customWidth="1"/>
    <col min="15" max="17" width="8.28125" style="368" customWidth="1"/>
    <col min="18" max="18" width="11.421875" style="368" customWidth="1"/>
    <col min="19" max="19" width="9.00390625" style="0" customWidth="1"/>
    <col min="20" max="20" width="8.28125" style="0" customWidth="1"/>
    <col min="21" max="21" width="11.00390625" style="0" customWidth="1"/>
    <col min="22" max="28" width="4.7109375" style="0" customWidth="1"/>
  </cols>
  <sheetData>
    <row r="1" spans="1:18" s="13" customFormat="1" ht="18.75" thickBot="1">
      <c r="A1" s="389"/>
      <c r="B1" s="397" t="s">
        <v>579</v>
      </c>
      <c r="C1" s="398"/>
      <c r="D1" s="398"/>
      <c r="E1" s="398"/>
      <c r="F1" s="398"/>
      <c r="G1" s="398"/>
      <c r="H1" s="398"/>
      <c r="I1" s="398"/>
      <c r="J1" s="398"/>
      <c r="K1" s="398"/>
      <c r="L1" s="398"/>
      <c r="M1" s="398"/>
      <c r="N1" s="398"/>
      <c r="O1" s="398"/>
      <c r="P1" s="398"/>
      <c r="Q1" s="398"/>
      <c r="R1" s="398"/>
    </row>
    <row r="2" spans="1:18" s="16" customFormat="1" ht="18">
      <c r="A2" s="390"/>
      <c r="B2" s="399"/>
      <c r="C2" s="390"/>
      <c r="D2" s="390"/>
      <c r="E2" s="390"/>
      <c r="F2" s="390"/>
      <c r="G2" s="390"/>
      <c r="H2" s="390"/>
      <c r="I2" s="390"/>
      <c r="J2" s="390"/>
      <c r="K2" s="390"/>
      <c r="L2" s="390"/>
      <c r="M2" s="390"/>
      <c r="N2" s="390"/>
      <c r="O2" s="390"/>
      <c r="P2" s="390"/>
      <c r="Q2" s="390"/>
      <c r="R2" s="390"/>
    </row>
    <row r="3" spans="13:24" ht="20.25">
      <c r="M3" s="110"/>
      <c r="N3" s="447"/>
      <c r="O3" s="447"/>
      <c r="P3" s="447"/>
      <c r="Q3" s="447"/>
      <c r="R3" s="447"/>
      <c r="S3" s="63"/>
      <c r="T3" s="63"/>
      <c r="U3" s="14"/>
      <c r="V3" s="14"/>
      <c r="W3" s="14"/>
      <c r="X3" s="14"/>
    </row>
    <row r="4" spans="13:24" ht="12.75">
      <c r="M4" s="390"/>
      <c r="N4" s="390"/>
      <c r="O4" s="390"/>
      <c r="P4" s="390"/>
      <c r="Q4" s="390"/>
      <c r="R4" s="390"/>
      <c r="S4" s="130"/>
      <c r="T4" s="130"/>
      <c r="U4" s="14"/>
      <c r="V4" s="14"/>
      <c r="W4" s="14"/>
      <c r="X4" s="14"/>
    </row>
    <row r="5" spans="2:24" ht="15.75">
      <c r="B5" s="129" t="s">
        <v>161</v>
      </c>
      <c r="F5" s="400"/>
      <c r="G5" s="400"/>
      <c r="H5" s="129" t="s">
        <v>165</v>
      </c>
      <c r="K5" s="401"/>
      <c r="L5" s="401"/>
      <c r="M5" s="390"/>
      <c r="N5" s="390"/>
      <c r="O5" s="390"/>
      <c r="P5" s="390"/>
      <c r="Q5" s="390"/>
      <c r="R5" s="390"/>
      <c r="S5" s="130"/>
      <c r="T5" s="130"/>
      <c r="U5" s="14"/>
      <c r="V5" s="14"/>
      <c r="W5" s="14"/>
      <c r="X5" s="14"/>
    </row>
    <row r="6" spans="2:20" ht="12.75">
      <c r="B6" s="111"/>
      <c r="C6" s="111"/>
      <c r="D6" s="405"/>
      <c r="E6" s="405"/>
      <c r="F6" s="405"/>
      <c r="G6" s="405"/>
      <c r="H6" s="390"/>
      <c r="I6" s="401"/>
      <c r="J6" s="401"/>
      <c r="K6" s="401"/>
      <c r="L6" s="401"/>
      <c r="M6" s="390"/>
      <c r="N6" s="390"/>
      <c r="O6" s="390"/>
      <c r="P6" s="390"/>
      <c r="Q6" s="390"/>
      <c r="R6" s="390"/>
      <c r="S6" s="130"/>
      <c r="T6" s="130"/>
    </row>
    <row r="7" spans="2:20" ht="13.5" thickBot="1">
      <c r="B7" s="111" t="s">
        <v>163</v>
      </c>
      <c r="C7" s="111"/>
      <c r="D7" s="113"/>
      <c r="E7" s="448" t="s">
        <v>164</v>
      </c>
      <c r="F7" s="113"/>
      <c r="G7" s="401"/>
      <c r="H7" s="129" t="s">
        <v>146</v>
      </c>
      <c r="I7" s="401"/>
      <c r="J7" s="401"/>
      <c r="K7" s="401"/>
      <c r="L7" s="373" t="s">
        <v>181</v>
      </c>
      <c r="M7" s="410"/>
      <c r="N7" s="407"/>
      <c r="P7" s="514" t="s">
        <v>244</v>
      </c>
      <c r="Q7" s="390"/>
      <c r="R7" s="390"/>
      <c r="S7" s="130"/>
      <c r="T7" s="130"/>
    </row>
    <row r="8" spans="2:20" ht="13.5" thickBot="1">
      <c r="B8" s="351" t="s">
        <v>162</v>
      </c>
      <c r="C8" s="381" t="s">
        <v>0</v>
      </c>
      <c r="D8" s="390"/>
      <c r="E8" s="381" t="s">
        <v>162</v>
      </c>
      <c r="F8" s="371" t="s">
        <v>0</v>
      </c>
      <c r="G8" s="390"/>
      <c r="I8" s="477" t="s">
        <v>179</v>
      </c>
      <c r="J8" s="403" t="s">
        <v>180</v>
      </c>
      <c r="K8" s="404"/>
      <c r="L8" s="451"/>
      <c r="M8" s="449" t="s">
        <v>179</v>
      </c>
      <c r="N8" s="403" t="s">
        <v>180</v>
      </c>
      <c r="R8" s="390"/>
      <c r="S8" s="130"/>
      <c r="T8" s="130"/>
    </row>
    <row r="9" spans="2:20" ht="13.5" thickBot="1">
      <c r="B9" s="349">
        <v>10</v>
      </c>
      <c r="C9" s="387">
        <v>0.663</v>
      </c>
      <c r="D9" s="390"/>
      <c r="E9" s="349">
        <v>10</v>
      </c>
      <c r="F9" s="387">
        <v>0.885</v>
      </c>
      <c r="G9" s="390"/>
      <c r="H9" s="420" t="s">
        <v>61</v>
      </c>
      <c r="I9" s="427" t="s">
        <v>0</v>
      </c>
      <c r="J9" s="427" t="s">
        <v>0</v>
      </c>
      <c r="L9" s="452" t="s">
        <v>61</v>
      </c>
      <c r="M9" s="478" t="s">
        <v>0</v>
      </c>
      <c r="N9" s="412" t="s">
        <v>0</v>
      </c>
      <c r="P9" s="452" t="s">
        <v>61</v>
      </c>
      <c r="Q9" s="478" t="s">
        <v>0</v>
      </c>
      <c r="S9" s="130"/>
      <c r="T9" s="130"/>
    </row>
    <row r="10" spans="2:20" ht="13.5" thickBot="1">
      <c r="B10" s="349">
        <v>9</v>
      </c>
      <c r="C10" s="387">
        <v>0.658</v>
      </c>
      <c r="D10" s="390"/>
      <c r="E10" s="349">
        <v>9</v>
      </c>
      <c r="F10" s="387">
        <v>0.882</v>
      </c>
      <c r="G10" s="390"/>
      <c r="H10" s="425">
        <v>10</v>
      </c>
      <c r="I10" s="467">
        <v>4.2857142857142865</v>
      </c>
      <c r="J10" s="467">
        <v>5</v>
      </c>
      <c r="L10" s="452">
        <v>10</v>
      </c>
      <c r="M10" s="507">
        <v>4.2857142857142865</v>
      </c>
      <c r="N10" s="453">
        <v>5</v>
      </c>
      <c r="P10" s="452">
        <v>10</v>
      </c>
      <c r="Q10" s="507">
        <v>4.2857142857142865</v>
      </c>
      <c r="S10" s="130"/>
      <c r="T10" s="130"/>
    </row>
    <row r="11" spans="2:20" ht="13.5" thickBot="1">
      <c r="B11" s="349">
        <v>8</v>
      </c>
      <c r="C11" s="387">
        <v>0.654</v>
      </c>
      <c r="D11" s="390"/>
      <c r="E11" s="349">
        <v>8</v>
      </c>
      <c r="F11" s="387">
        <v>0.878</v>
      </c>
      <c r="G11" s="390"/>
      <c r="H11" s="425">
        <v>9</v>
      </c>
      <c r="I11" s="467">
        <v>4</v>
      </c>
      <c r="J11" s="467">
        <v>4.857142857142857</v>
      </c>
      <c r="L11" s="425">
        <v>9</v>
      </c>
      <c r="M11" s="467">
        <v>4</v>
      </c>
      <c r="N11" s="454">
        <v>4.857142857142857</v>
      </c>
      <c r="P11" s="425">
        <v>9</v>
      </c>
      <c r="Q11" s="467">
        <v>4</v>
      </c>
      <c r="S11" s="130"/>
      <c r="T11" s="130"/>
    </row>
    <row r="12" spans="2:20" ht="13.5" thickBot="1">
      <c r="B12" s="349">
        <v>7</v>
      </c>
      <c r="C12" s="387">
        <v>0.646</v>
      </c>
      <c r="D12" s="390"/>
      <c r="E12" s="349">
        <v>7</v>
      </c>
      <c r="F12" s="387">
        <v>0.872</v>
      </c>
      <c r="G12" s="405"/>
      <c r="H12" s="425">
        <v>8</v>
      </c>
      <c r="I12" s="467">
        <v>3.4285714285714284</v>
      </c>
      <c r="J12" s="467">
        <v>4.476190476190476</v>
      </c>
      <c r="L12" s="425">
        <v>8</v>
      </c>
      <c r="M12" s="467">
        <v>3.4285714285714284</v>
      </c>
      <c r="N12" s="454">
        <v>4.476190476190476</v>
      </c>
      <c r="P12" s="425">
        <v>8</v>
      </c>
      <c r="Q12" s="467">
        <v>3.4285714285714284</v>
      </c>
      <c r="S12" s="130"/>
      <c r="T12" s="130"/>
    </row>
    <row r="13" spans="2:20" ht="13.5" thickBot="1">
      <c r="B13" s="349">
        <v>6</v>
      </c>
      <c r="C13" s="387">
        <v>0.638</v>
      </c>
      <c r="D13" s="390"/>
      <c r="E13" s="349">
        <v>6</v>
      </c>
      <c r="F13" s="387">
        <v>0.865</v>
      </c>
      <c r="G13" s="415"/>
      <c r="H13" s="425">
        <v>7</v>
      </c>
      <c r="I13" s="467">
        <v>2.571428571428571</v>
      </c>
      <c r="J13" s="467">
        <v>3.761904761904762</v>
      </c>
      <c r="L13" s="425">
        <v>7</v>
      </c>
      <c r="M13" s="467">
        <v>2.571428571428571</v>
      </c>
      <c r="N13" s="454">
        <v>3.761904761904762</v>
      </c>
      <c r="P13" s="425">
        <v>7</v>
      </c>
      <c r="Q13" s="467">
        <v>2.571428571428571</v>
      </c>
      <c r="S13" s="130"/>
      <c r="T13" s="130"/>
    </row>
    <row r="14" spans="2:20" ht="13.5" thickBot="1">
      <c r="B14" s="349">
        <v>5</v>
      </c>
      <c r="C14" s="387">
        <v>0.613</v>
      </c>
      <c r="D14" s="390"/>
      <c r="E14" s="349">
        <v>5</v>
      </c>
      <c r="F14" s="387">
        <v>0.844</v>
      </c>
      <c r="G14" s="415"/>
      <c r="H14" s="425">
        <v>6</v>
      </c>
      <c r="I14" s="467">
        <v>1.7142857142857142</v>
      </c>
      <c r="J14" s="467">
        <v>2.7619047619047623</v>
      </c>
      <c r="L14" s="425">
        <v>6</v>
      </c>
      <c r="M14" s="467">
        <v>1.7142857142857142</v>
      </c>
      <c r="N14" s="454">
        <v>2.7619047619047623</v>
      </c>
      <c r="P14" s="425">
        <v>6</v>
      </c>
      <c r="Q14" s="467">
        <v>2.571428571428571</v>
      </c>
      <c r="S14" s="130"/>
      <c r="T14" s="130"/>
    </row>
    <row r="15" spans="2:20" ht="13.5" thickBot="1">
      <c r="B15" s="349">
        <v>4</v>
      </c>
      <c r="C15" s="387">
        <v>0.546</v>
      </c>
      <c r="D15" s="390"/>
      <c r="E15" s="349">
        <v>4</v>
      </c>
      <c r="F15" s="387">
        <v>0.785</v>
      </c>
      <c r="G15" s="415"/>
      <c r="H15" s="425">
        <v>5</v>
      </c>
      <c r="I15" s="467">
        <v>1.142857142857143</v>
      </c>
      <c r="J15" s="467">
        <v>2</v>
      </c>
      <c r="L15" s="425">
        <v>5</v>
      </c>
      <c r="M15" s="467">
        <v>1.142857142857143</v>
      </c>
      <c r="N15" s="454">
        <v>2</v>
      </c>
      <c r="P15" s="425">
        <v>5</v>
      </c>
      <c r="Q15" s="467">
        <v>2.571428571428571</v>
      </c>
      <c r="S15" s="130"/>
      <c r="T15" s="130"/>
    </row>
    <row r="16" spans="2:20" ht="13.5" thickBot="1">
      <c r="B16" s="349">
        <v>3</v>
      </c>
      <c r="C16" s="387">
        <v>0.492</v>
      </c>
      <c r="D16" s="390"/>
      <c r="E16" s="349">
        <v>3</v>
      </c>
      <c r="F16" s="387">
        <v>0.736</v>
      </c>
      <c r="G16" s="415"/>
      <c r="H16" s="425">
        <v>4</v>
      </c>
      <c r="I16" s="467">
        <v>0.5714285714285715</v>
      </c>
      <c r="J16" s="467">
        <v>1.0476190476190477</v>
      </c>
      <c r="L16" s="425">
        <v>4</v>
      </c>
      <c r="M16" s="467">
        <v>0.8571428571428571</v>
      </c>
      <c r="N16" s="454">
        <v>1.4285714285714286</v>
      </c>
      <c r="P16" s="425">
        <v>4</v>
      </c>
      <c r="Q16" s="467">
        <v>2.571428571428571</v>
      </c>
      <c r="S16" s="130"/>
      <c r="T16" s="130"/>
    </row>
    <row r="17" spans="2:20" ht="13.5" thickBot="1">
      <c r="B17" s="349">
        <v>2</v>
      </c>
      <c r="C17" s="387">
        <v>0.45</v>
      </c>
      <c r="D17" s="390"/>
      <c r="E17" s="349">
        <v>2</v>
      </c>
      <c r="F17" s="387">
        <v>0.69</v>
      </c>
      <c r="G17" s="415"/>
      <c r="H17" s="508">
        <v>3</v>
      </c>
      <c r="I17" s="456">
        <v>0.28571428571428575</v>
      </c>
      <c r="J17" s="456">
        <v>0.5238095238095238</v>
      </c>
      <c r="L17" s="425">
        <v>3</v>
      </c>
      <c r="M17" s="467">
        <v>0.8571428571428571</v>
      </c>
      <c r="N17" s="454">
        <v>1.2857142857142858</v>
      </c>
      <c r="P17" s="425">
        <v>3</v>
      </c>
      <c r="Q17" s="467">
        <v>2.571428571428571</v>
      </c>
      <c r="S17" s="130"/>
      <c r="T17" s="130"/>
    </row>
    <row r="18" spans="2:20" ht="13.5" thickBot="1">
      <c r="B18" s="349">
        <v>1</v>
      </c>
      <c r="C18" s="387">
        <v>0.346</v>
      </c>
      <c r="D18" s="390"/>
      <c r="E18" s="349">
        <v>1</v>
      </c>
      <c r="F18" s="387">
        <v>0.57</v>
      </c>
      <c r="G18" s="415"/>
      <c r="H18" s="113"/>
      <c r="I18" s="401"/>
      <c r="J18" s="407"/>
      <c r="L18" s="425">
        <v>2</v>
      </c>
      <c r="M18" s="467">
        <v>0.8571428571428571</v>
      </c>
      <c r="N18" s="454">
        <v>1.142857142857143</v>
      </c>
      <c r="P18" s="425">
        <v>2</v>
      </c>
      <c r="Q18" s="467">
        <v>2.571428571428571</v>
      </c>
      <c r="S18" s="130"/>
      <c r="T18" s="130"/>
    </row>
    <row r="19" spans="4:20" ht="13.5" thickBot="1">
      <c r="D19" s="390"/>
      <c r="G19" s="415"/>
      <c r="H19" s="448" t="s">
        <v>183</v>
      </c>
      <c r="I19" s="447"/>
      <c r="L19" s="508">
        <v>1</v>
      </c>
      <c r="M19" s="456">
        <v>0.8571428571428571</v>
      </c>
      <c r="N19" s="455">
        <v>1.142857142857143</v>
      </c>
      <c r="P19" s="508">
        <v>1</v>
      </c>
      <c r="Q19" s="456">
        <v>2.571428571428571</v>
      </c>
      <c r="S19" s="130"/>
      <c r="T19" s="130"/>
    </row>
    <row r="20" spans="4:20" ht="13.5" thickBot="1">
      <c r="D20" s="390"/>
      <c r="G20" s="415"/>
      <c r="J20" s="477" t="s">
        <v>179</v>
      </c>
      <c r="K20" s="403" t="s">
        <v>180</v>
      </c>
      <c r="L20" s="404"/>
      <c r="S20" s="130"/>
      <c r="T20" s="130"/>
    </row>
    <row r="21" spans="4:20" ht="13.5" thickBot="1">
      <c r="D21" s="390"/>
      <c r="G21" s="415"/>
      <c r="H21" s="420" t="s">
        <v>61</v>
      </c>
      <c r="I21" s="460"/>
      <c r="J21" s="460" t="s">
        <v>0</v>
      </c>
      <c r="K21" s="460" t="s">
        <v>0</v>
      </c>
      <c r="S21" s="130"/>
      <c r="T21" s="130"/>
    </row>
    <row r="22" spans="4:20" ht="12.75">
      <c r="D22" s="390"/>
      <c r="G22" s="415"/>
      <c r="H22" s="509" t="s">
        <v>182</v>
      </c>
      <c r="I22" s="404"/>
      <c r="J22" s="510">
        <v>4.2857142857142865</v>
      </c>
      <c r="K22" s="511">
        <v>5</v>
      </c>
      <c r="S22" s="130"/>
      <c r="T22" s="130"/>
    </row>
    <row r="23" spans="4:20" ht="12.75">
      <c r="D23" s="390"/>
      <c r="G23" s="415"/>
      <c r="H23" s="509" t="s">
        <v>72</v>
      </c>
      <c r="I23" s="404"/>
      <c r="J23" s="510">
        <v>3.4285714285714284</v>
      </c>
      <c r="K23" s="510">
        <v>4.571428571428572</v>
      </c>
      <c r="S23" s="130"/>
      <c r="T23" s="130"/>
    </row>
    <row r="24" spans="4:20" ht="13.5" thickBot="1">
      <c r="D24" s="390"/>
      <c r="G24" s="401"/>
      <c r="H24" s="512" t="s">
        <v>79</v>
      </c>
      <c r="I24" s="513"/>
      <c r="J24" s="439">
        <v>2.5714285714285716</v>
      </c>
      <c r="K24" s="439">
        <v>3.857142857142857</v>
      </c>
      <c r="S24" s="130"/>
      <c r="T24" s="130"/>
    </row>
    <row r="25" spans="4:21" ht="13.5" thickBot="1">
      <c r="D25" s="390"/>
      <c r="G25" s="415"/>
      <c r="H25" s="733"/>
      <c r="I25" s="734"/>
      <c r="J25" s="459"/>
      <c r="S25" s="130"/>
      <c r="T25" s="130"/>
      <c r="U25" s="1"/>
    </row>
    <row r="26" spans="4:20" ht="12.75">
      <c r="D26" s="390"/>
      <c r="G26" s="415"/>
      <c r="S26" s="130"/>
      <c r="T26" s="130"/>
    </row>
    <row r="27" spans="19:20" ht="13.5" thickBot="1">
      <c r="S27" s="130"/>
      <c r="T27" s="130"/>
    </row>
    <row r="28" spans="1:20" ht="16.5" thickBot="1">
      <c r="A28" s="391"/>
      <c r="B28" s="416" t="s">
        <v>11</v>
      </c>
      <c r="C28" s="417" t="s">
        <v>17</v>
      </c>
      <c r="D28" s="418"/>
      <c r="E28" s="418"/>
      <c r="F28" s="418"/>
      <c r="G28" s="418"/>
      <c r="H28" s="419"/>
      <c r="J28" s="738" t="s">
        <v>167</v>
      </c>
      <c r="K28" s="732"/>
      <c r="L28" s="735" t="s">
        <v>117</v>
      </c>
      <c r="M28" s="736"/>
      <c r="N28" s="737"/>
      <c r="O28" s="381" t="s">
        <v>171</v>
      </c>
      <c r="P28" s="739" t="s">
        <v>174</v>
      </c>
      <c r="Q28" s="732"/>
      <c r="S28" s="130"/>
      <c r="T28" s="130"/>
    </row>
    <row r="29" spans="1:20" ht="13.5" thickBot="1">
      <c r="A29" s="389"/>
      <c r="B29" s="398"/>
      <c r="C29" s="398"/>
      <c r="D29" s="398"/>
      <c r="E29" s="398"/>
      <c r="F29" s="398"/>
      <c r="G29" s="398"/>
      <c r="H29" s="398"/>
      <c r="I29" s="420" t="s">
        <v>166</v>
      </c>
      <c r="J29" s="351" t="s">
        <v>168</v>
      </c>
      <c r="K29" s="460" t="s">
        <v>121</v>
      </c>
      <c r="L29" s="463" t="s">
        <v>118</v>
      </c>
      <c r="M29" s="429" t="s">
        <v>170</v>
      </c>
      <c r="N29" s="457" t="s">
        <v>116</v>
      </c>
      <c r="O29" s="429" t="s">
        <v>175</v>
      </c>
      <c r="P29" s="499" t="s">
        <v>176</v>
      </c>
      <c r="Q29" s="500" t="s">
        <v>175</v>
      </c>
      <c r="S29" s="130"/>
      <c r="T29" s="130"/>
    </row>
    <row r="30" spans="1:20" ht="13.5" thickBot="1">
      <c r="A30" s="392"/>
      <c r="B30" s="421" t="s">
        <v>12</v>
      </c>
      <c r="C30" s="422"/>
      <c r="D30" s="422"/>
      <c r="E30" s="422"/>
      <c r="F30" s="422"/>
      <c r="G30" s="422"/>
      <c r="H30" s="423"/>
      <c r="I30" s="350">
        <f>SUM(I31:I76)</f>
        <v>0</v>
      </c>
      <c r="J30" s="350"/>
      <c r="K30" s="350">
        <f>SUM(K31:K76)</f>
        <v>0</v>
      </c>
      <c r="L30" s="459"/>
      <c r="M30" s="459"/>
      <c r="N30" s="466">
        <f>SUM(N31:N76)</f>
        <v>0</v>
      </c>
      <c r="O30" s="466">
        <f>SUM(O31:O76)</f>
        <v>0</v>
      </c>
      <c r="P30" s="501"/>
      <c r="Q30" s="501">
        <f>SUM(Q31:Q76)</f>
        <v>0</v>
      </c>
      <c r="S30" s="130"/>
      <c r="T30" s="130"/>
    </row>
    <row r="31" spans="1:20" ht="15.75">
      <c r="A31" s="393">
        <v>1</v>
      </c>
      <c r="B31" s="426" t="s">
        <v>248</v>
      </c>
      <c r="C31" s="390"/>
      <c r="D31" s="390"/>
      <c r="I31" s="425"/>
      <c r="J31" s="425"/>
      <c r="K31" s="425"/>
      <c r="L31" s="467"/>
      <c r="M31" s="467"/>
      <c r="N31" s="468"/>
      <c r="O31" s="469"/>
      <c r="P31" s="482"/>
      <c r="Q31" s="483"/>
      <c r="S31" s="130"/>
      <c r="T31" s="130"/>
    </row>
    <row r="32" spans="1:20" ht="15.75">
      <c r="A32" s="393"/>
      <c r="B32" s="426"/>
      <c r="C32" s="390" t="s">
        <v>495</v>
      </c>
      <c r="D32" s="390"/>
      <c r="I32" s="425">
        <f>'CUARTEL GENERAL'!E5+'CUARTEL GENERAL'!E6</f>
        <v>0</v>
      </c>
      <c r="J32" s="425">
        <f>4+'CUARTEL GENERAL'!E6</f>
        <v>4</v>
      </c>
      <c r="K32" s="425">
        <f>(J32*(I32))</f>
        <v>0</v>
      </c>
      <c r="L32" s="467">
        <f>I14</f>
        <v>1.7142857142857142</v>
      </c>
      <c r="M32" s="467">
        <f>C14</f>
        <v>0.613</v>
      </c>
      <c r="N32" s="468">
        <f>K32*L32*M32</f>
        <v>0</v>
      </c>
      <c r="O32" s="470">
        <f>N32</f>
        <v>0</v>
      </c>
      <c r="P32" s="482">
        <v>5</v>
      </c>
      <c r="Q32" s="484">
        <f>P32*K32</f>
        <v>0</v>
      </c>
      <c r="S32" s="130"/>
      <c r="T32" s="130"/>
    </row>
    <row r="33" spans="1:20" ht="15.75">
      <c r="A33" s="393"/>
      <c r="B33" s="426"/>
      <c r="C33" s="390" t="s">
        <v>493</v>
      </c>
      <c r="D33" s="390"/>
      <c r="I33" s="425"/>
      <c r="J33" s="425">
        <v>1</v>
      </c>
      <c r="K33" s="425">
        <f>J33*(I32)</f>
        <v>0</v>
      </c>
      <c r="L33" s="467">
        <f>L32</f>
        <v>1.7142857142857142</v>
      </c>
      <c r="M33" s="467">
        <f>F14</f>
        <v>0.844</v>
      </c>
      <c r="N33" s="468">
        <f>K33*L33*M33</f>
        <v>0</v>
      </c>
      <c r="O33" s="470">
        <f>N33</f>
        <v>0</v>
      </c>
      <c r="P33" s="482">
        <v>5</v>
      </c>
      <c r="Q33" s="484">
        <f>P33*K33</f>
        <v>0</v>
      </c>
      <c r="S33" s="130"/>
      <c r="T33" s="130"/>
    </row>
    <row r="34" spans="1:20" ht="15.75">
      <c r="A34" s="393">
        <v>2</v>
      </c>
      <c r="B34" s="426" t="s">
        <v>249</v>
      </c>
      <c r="C34" s="390"/>
      <c r="D34" s="390"/>
      <c r="I34" s="425"/>
      <c r="J34" s="425"/>
      <c r="K34" s="425"/>
      <c r="L34" s="467"/>
      <c r="M34" s="467"/>
      <c r="N34" s="468"/>
      <c r="O34" s="470"/>
      <c r="P34" s="482"/>
      <c r="Q34" s="484"/>
      <c r="S34" s="130"/>
      <c r="T34" s="130"/>
    </row>
    <row r="35" spans="1:20" ht="15.75">
      <c r="A35" s="393"/>
      <c r="B35" s="426"/>
      <c r="C35" s="390" t="s">
        <v>494</v>
      </c>
      <c r="D35" s="390"/>
      <c r="I35" s="425">
        <f>'CUARTEL GENERAL'!E22+'CUARTEL GENERAL'!E23+'CUARTEL GENERAL'!K75</f>
        <v>0</v>
      </c>
      <c r="J35" s="425">
        <f>3+'CUARTEL GENERAL'!E23</f>
        <v>3</v>
      </c>
      <c r="K35" s="425">
        <f>J35*(I35)</f>
        <v>0</v>
      </c>
      <c r="L35" s="467">
        <f>I16</f>
        <v>0.5714285714285715</v>
      </c>
      <c r="M35" s="467">
        <f>C14</f>
        <v>0.613</v>
      </c>
      <c r="N35" s="468">
        <f>K35*L35*M35</f>
        <v>0</v>
      </c>
      <c r="O35" s="470">
        <f>N35</f>
        <v>0</v>
      </c>
      <c r="P35" s="482">
        <v>5</v>
      </c>
      <c r="Q35" s="484">
        <f>P35*K35</f>
        <v>0</v>
      </c>
      <c r="S35" s="130"/>
      <c r="T35" s="130"/>
    </row>
    <row r="36" spans="1:20" ht="15.75">
      <c r="A36" s="393"/>
      <c r="B36" s="426"/>
      <c r="C36" s="390"/>
      <c r="D36" s="390"/>
      <c r="I36" s="425"/>
      <c r="J36" s="425">
        <v>1</v>
      </c>
      <c r="K36" s="425">
        <f>J36*(I35)</f>
        <v>0</v>
      </c>
      <c r="L36" s="467">
        <f>L35</f>
        <v>0.5714285714285715</v>
      </c>
      <c r="M36" s="467">
        <f>F14</f>
        <v>0.844</v>
      </c>
      <c r="N36" s="468">
        <f>K36*L36*M36</f>
        <v>0</v>
      </c>
      <c r="O36" s="470">
        <f>N36</f>
        <v>0</v>
      </c>
      <c r="P36" s="482">
        <v>5</v>
      </c>
      <c r="Q36" s="484">
        <f>P36*K36</f>
        <v>0</v>
      </c>
      <c r="S36" s="130"/>
      <c r="T36" s="130"/>
    </row>
    <row r="37" spans="1:20" ht="15.75">
      <c r="A37" s="393">
        <v>3</v>
      </c>
      <c r="B37" s="426" t="s">
        <v>250</v>
      </c>
      <c r="C37" s="390"/>
      <c r="D37" s="390"/>
      <c r="I37" s="425"/>
      <c r="J37" s="425"/>
      <c r="K37" s="425"/>
      <c r="L37" s="467"/>
      <c r="M37" s="467"/>
      <c r="N37" s="468"/>
      <c r="O37" s="470"/>
      <c r="P37" s="482"/>
      <c r="Q37" s="484"/>
      <c r="S37" s="130"/>
      <c r="T37" s="130"/>
    </row>
    <row r="38" spans="1:20" ht="15.75">
      <c r="A38" s="393"/>
      <c r="B38" s="426"/>
      <c r="C38" s="390" t="s">
        <v>500</v>
      </c>
      <c r="D38" s="390"/>
      <c r="I38" s="425">
        <f>'CUARTEL GENERAL'!E12</f>
        <v>0</v>
      </c>
      <c r="J38" s="425">
        <f>2+'CUARTEL GENERAL'!E13</f>
        <v>2</v>
      </c>
      <c r="K38" s="425">
        <f>J38*(I38)</f>
        <v>0</v>
      </c>
      <c r="L38" s="467">
        <f>I16</f>
        <v>0.5714285714285715</v>
      </c>
      <c r="M38" s="467">
        <f>C14</f>
        <v>0.613</v>
      </c>
      <c r="N38" s="468">
        <f>K38*L38*M38</f>
        <v>0</v>
      </c>
      <c r="O38" s="470">
        <f>N38</f>
        <v>0</v>
      </c>
      <c r="P38" s="482">
        <v>5</v>
      </c>
      <c r="Q38" s="484">
        <f>P38*K38</f>
        <v>0</v>
      </c>
      <c r="S38" s="130"/>
      <c r="T38" s="130"/>
    </row>
    <row r="39" spans="1:20" ht="15.75">
      <c r="A39" s="393"/>
      <c r="B39" s="426"/>
      <c r="C39" s="390" t="s">
        <v>501</v>
      </c>
      <c r="D39" s="390"/>
      <c r="I39" s="425"/>
      <c r="J39" s="425">
        <v>1</v>
      </c>
      <c r="K39" s="425">
        <f>J39*(I38)</f>
        <v>0</v>
      </c>
      <c r="L39" s="467">
        <f>L38</f>
        <v>0.5714285714285715</v>
      </c>
      <c r="M39" s="467">
        <f>F14</f>
        <v>0.844</v>
      </c>
      <c r="N39" s="468">
        <f>K39*L39*M39</f>
        <v>0</v>
      </c>
      <c r="O39" s="470"/>
      <c r="P39" s="482"/>
      <c r="Q39" s="484"/>
      <c r="S39" s="130"/>
      <c r="T39" s="130"/>
    </row>
    <row r="40" spans="1:20" ht="15.75">
      <c r="A40" s="393"/>
      <c r="B40" s="426"/>
      <c r="C40" s="390" t="s">
        <v>490</v>
      </c>
      <c r="D40" s="390"/>
      <c r="I40" s="425">
        <f>'CUARTEL GENERAL'!E11</f>
        <v>0</v>
      </c>
      <c r="J40" s="425">
        <f>4+'CUARTEL GENERAL'!E13</f>
        <v>4</v>
      </c>
      <c r="K40" s="425">
        <f>J40*(I40)</f>
        <v>0</v>
      </c>
      <c r="L40" s="467">
        <f>J16</f>
        <v>1.0476190476190477</v>
      </c>
      <c r="M40" s="467">
        <f>C14</f>
        <v>0.613</v>
      </c>
      <c r="N40" s="468">
        <f>K40*L40*M40</f>
        <v>0</v>
      </c>
      <c r="O40" s="470">
        <f>N40</f>
        <v>0</v>
      </c>
      <c r="P40" s="482">
        <v>5</v>
      </c>
      <c r="Q40" s="484">
        <f>P40*K40</f>
        <v>0</v>
      </c>
      <c r="S40" s="130"/>
      <c r="T40" s="130"/>
    </row>
    <row r="41" spans="1:20" ht="15.75">
      <c r="A41" s="393"/>
      <c r="B41" s="426"/>
      <c r="C41" s="390" t="s">
        <v>169</v>
      </c>
      <c r="D41" s="390"/>
      <c r="I41" s="425">
        <f>'CUARTEL GENERAL'!E10</f>
        <v>0</v>
      </c>
      <c r="J41" s="425">
        <f>3+'CUARTEL GENERAL'!E13</f>
        <v>3</v>
      </c>
      <c r="K41" s="425">
        <f>J41*(I41)</f>
        <v>0</v>
      </c>
      <c r="L41" s="467">
        <f>I12</f>
        <v>3.4285714285714284</v>
      </c>
      <c r="M41" s="467">
        <f>C14</f>
        <v>0.613</v>
      </c>
      <c r="N41" s="468">
        <f>K41*L41*M41</f>
        <v>0</v>
      </c>
      <c r="O41" s="470">
        <f>N41</f>
        <v>0</v>
      </c>
      <c r="P41" s="482">
        <v>1</v>
      </c>
      <c r="Q41" s="484">
        <f>P41*K41</f>
        <v>0</v>
      </c>
      <c r="S41" s="130"/>
      <c r="T41" s="130"/>
    </row>
    <row r="42" spans="1:20" ht="15.75">
      <c r="A42" s="393">
        <v>4</v>
      </c>
      <c r="B42" s="426" t="s">
        <v>253</v>
      </c>
      <c r="C42" s="390"/>
      <c r="D42" s="390"/>
      <c r="I42" s="425"/>
      <c r="J42" s="425"/>
      <c r="K42" s="425"/>
      <c r="L42" s="467"/>
      <c r="M42" s="467"/>
      <c r="N42" s="468"/>
      <c r="O42" s="470"/>
      <c r="P42" s="482"/>
      <c r="Q42" s="484"/>
      <c r="S42" s="130"/>
      <c r="T42" s="130"/>
    </row>
    <row r="43" spans="1:20" ht="15.75">
      <c r="A43" s="393"/>
      <c r="B43" s="426"/>
      <c r="C43" s="390" t="s">
        <v>500</v>
      </c>
      <c r="D43" s="390"/>
      <c r="I43" s="425">
        <f>'CUARTEL GENERAL'!E17</f>
        <v>0</v>
      </c>
      <c r="J43" s="425">
        <f>3</f>
        <v>3</v>
      </c>
      <c r="K43" s="425">
        <f>J43*(I43)</f>
        <v>0</v>
      </c>
      <c r="L43" s="467">
        <f>I16</f>
        <v>0.5714285714285715</v>
      </c>
      <c r="M43" s="467">
        <f>C14</f>
        <v>0.613</v>
      </c>
      <c r="N43" s="468">
        <f>K43*L43*M43</f>
        <v>0</v>
      </c>
      <c r="O43" s="470">
        <f>N43</f>
        <v>0</v>
      </c>
      <c r="P43" s="482">
        <v>5</v>
      </c>
      <c r="Q43" s="484">
        <f>P43*K43</f>
        <v>0</v>
      </c>
      <c r="S43" s="130"/>
      <c r="T43" s="130"/>
    </row>
    <row r="44" spans="1:20" ht="15.75">
      <c r="A44" s="393"/>
      <c r="B44" s="426"/>
      <c r="C44" s="390" t="s">
        <v>501</v>
      </c>
      <c r="D44" s="390"/>
      <c r="I44" s="425"/>
      <c r="J44" s="425">
        <v>1</v>
      </c>
      <c r="K44" s="425">
        <f>J44*(I43)</f>
        <v>0</v>
      </c>
      <c r="L44" s="467">
        <f>L43</f>
        <v>0.5714285714285715</v>
      </c>
      <c r="M44" s="467">
        <f>F14</f>
        <v>0.844</v>
      </c>
      <c r="N44" s="468">
        <f>K44*L44*M44</f>
        <v>0</v>
      </c>
      <c r="O44" s="470">
        <f>N44</f>
        <v>0</v>
      </c>
      <c r="P44" s="482">
        <v>5</v>
      </c>
      <c r="Q44" s="484">
        <f>P44*K44</f>
        <v>0</v>
      </c>
      <c r="S44" s="130"/>
      <c r="T44" s="130"/>
    </row>
    <row r="45" spans="1:20" ht="15.75">
      <c r="A45" s="393">
        <v>5</v>
      </c>
      <c r="B45" s="426" t="s">
        <v>257</v>
      </c>
      <c r="C45" s="390"/>
      <c r="D45" s="390"/>
      <c r="I45" s="425"/>
      <c r="J45" s="425"/>
      <c r="K45" s="425"/>
      <c r="L45" s="467"/>
      <c r="M45" s="467"/>
      <c r="N45" s="468"/>
      <c r="O45" s="469"/>
      <c r="P45" s="482"/>
      <c r="Q45" s="484"/>
      <c r="S45" s="130"/>
      <c r="T45" s="130"/>
    </row>
    <row r="46" spans="1:20" ht="15.75">
      <c r="A46" s="393"/>
      <c r="B46" s="426"/>
      <c r="C46" s="390" t="s">
        <v>265</v>
      </c>
      <c r="D46" s="390"/>
      <c r="I46" s="425">
        <f>'CUARTEL GENERAL'!K27+'CUARTEL GENERAL'!K28</f>
        <v>0</v>
      </c>
      <c r="J46" s="425">
        <f>4</f>
        <v>4</v>
      </c>
      <c r="K46" s="425">
        <f aca="true" t="shared" si="0" ref="K46:K57">J46*(I46)</f>
        <v>0</v>
      </c>
      <c r="L46" s="467">
        <f>I16</f>
        <v>0.5714285714285715</v>
      </c>
      <c r="M46" s="467">
        <f>$C$14</f>
        <v>0.613</v>
      </c>
      <c r="N46" s="468">
        <f aca="true" t="shared" si="1" ref="N46:N57">K46*L46*M46</f>
        <v>0</v>
      </c>
      <c r="O46" s="470"/>
      <c r="P46" s="482">
        <v>5</v>
      </c>
      <c r="Q46" s="484">
        <f aca="true" t="shared" si="2" ref="Q46:Q57">P46*K46</f>
        <v>0</v>
      </c>
      <c r="S46" s="130"/>
      <c r="T46" s="130"/>
    </row>
    <row r="47" spans="1:20" ht="15.75">
      <c r="A47" s="393"/>
      <c r="B47" s="426"/>
      <c r="C47" s="390" t="s">
        <v>492</v>
      </c>
      <c r="D47" s="390"/>
      <c r="I47" s="425">
        <f>'CUARTEL GENERAL'!K29+'CUARTEL GENERAL'!K30+'CUARTEL GENERAL'!K73+'CUARTEL GENERAL'!K74+'CUARTEL GENERAL'!L75</f>
        <v>0</v>
      </c>
      <c r="J47" s="425">
        <f>4</f>
        <v>4</v>
      </c>
      <c r="K47" s="425">
        <f t="shared" si="0"/>
        <v>0</v>
      </c>
      <c r="L47" s="467">
        <f>L46</f>
        <v>0.5714285714285715</v>
      </c>
      <c r="M47" s="467">
        <f>$C$14</f>
        <v>0.613</v>
      </c>
      <c r="N47" s="468">
        <f t="shared" si="1"/>
        <v>0</v>
      </c>
      <c r="O47" s="470">
        <f aca="true" t="shared" si="3" ref="O47:O57">N47</f>
        <v>0</v>
      </c>
      <c r="P47" s="482">
        <v>5</v>
      </c>
      <c r="Q47" s="484">
        <f t="shared" si="2"/>
        <v>0</v>
      </c>
      <c r="S47" s="130"/>
      <c r="T47" s="130"/>
    </row>
    <row r="48" spans="1:20" ht="15.75">
      <c r="A48" s="393"/>
      <c r="B48" s="426"/>
      <c r="C48" s="390" t="s">
        <v>504</v>
      </c>
      <c r="D48" s="390"/>
      <c r="I48" s="425">
        <f>'CUARTEL GENERAL'!K31+'CUARTEL GENERAL'!K32</f>
        <v>0</v>
      </c>
      <c r="J48" s="425">
        <v>3</v>
      </c>
      <c r="K48" s="425">
        <f t="shared" si="0"/>
        <v>0</v>
      </c>
      <c r="L48" s="467">
        <f>L41</f>
        <v>3.4285714285714284</v>
      </c>
      <c r="M48" s="467">
        <f>C14</f>
        <v>0.613</v>
      </c>
      <c r="N48" s="468">
        <f t="shared" si="1"/>
        <v>0</v>
      </c>
      <c r="O48" s="470">
        <f t="shared" si="3"/>
        <v>0</v>
      </c>
      <c r="P48" s="482">
        <v>1</v>
      </c>
      <c r="Q48" s="484">
        <f t="shared" si="2"/>
        <v>0</v>
      </c>
      <c r="S48" s="130"/>
      <c r="T48" s="130"/>
    </row>
    <row r="49" spans="1:20" ht="15.75">
      <c r="A49" s="393"/>
      <c r="B49" s="426"/>
      <c r="C49" s="390" t="s">
        <v>491</v>
      </c>
      <c r="D49" s="390"/>
      <c r="I49" s="425">
        <f>'CUARTEL GENERAL'!K33+'CUARTEL GENERAL'!K34</f>
        <v>0</v>
      </c>
      <c r="J49" s="425">
        <v>3</v>
      </c>
      <c r="K49" s="425">
        <f t="shared" si="0"/>
        <v>0</v>
      </c>
      <c r="L49" s="467">
        <f>L40</f>
        <v>1.0476190476190477</v>
      </c>
      <c r="M49" s="467">
        <f>$C$14</f>
        <v>0.613</v>
      </c>
      <c r="N49" s="468">
        <f t="shared" si="1"/>
        <v>0</v>
      </c>
      <c r="O49" s="470">
        <f t="shared" si="3"/>
        <v>0</v>
      </c>
      <c r="P49" s="482">
        <v>5</v>
      </c>
      <c r="Q49" s="484">
        <f t="shared" si="2"/>
        <v>0</v>
      </c>
      <c r="S49" s="130"/>
      <c r="T49" s="130"/>
    </row>
    <row r="50" spans="1:20" ht="15.75">
      <c r="A50" s="393"/>
      <c r="B50" s="426"/>
      <c r="C50" s="390" t="s">
        <v>490</v>
      </c>
      <c r="D50" s="390"/>
      <c r="I50" s="425">
        <f>'CUARTEL GENERAL'!K35+'CUARTEL GENERAL'!K36</f>
        <v>0</v>
      </c>
      <c r="J50" s="425">
        <f>4</f>
        <v>4</v>
      </c>
      <c r="K50" s="425">
        <f t="shared" si="0"/>
        <v>0</v>
      </c>
      <c r="L50" s="467">
        <f>L40</f>
        <v>1.0476190476190477</v>
      </c>
      <c r="M50" s="467">
        <f>$C$14</f>
        <v>0.613</v>
      </c>
      <c r="N50" s="468">
        <f t="shared" si="1"/>
        <v>0</v>
      </c>
      <c r="O50" s="470">
        <f t="shared" si="3"/>
        <v>0</v>
      </c>
      <c r="P50" s="482">
        <v>5</v>
      </c>
      <c r="Q50" s="484">
        <f t="shared" si="2"/>
        <v>0</v>
      </c>
      <c r="S50" s="130"/>
      <c r="T50" s="130"/>
    </row>
    <row r="51" spans="1:20" ht="15.75">
      <c r="A51" s="393"/>
      <c r="B51" s="426"/>
      <c r="C51" s="390" t="s">
        <v>169</v>
      </c>
      <c r="D51" s="390"/>
      <c r="I51" s="425">
        <f>'CUARTEL GENERAL'!K37+'CUARTEL GENERAL'!K38</f>
        <v>0</v>
      </c>
      <c r="J51" s="425">
        <v>3</v>
      </c>
      <c r="K51" s="425">
        <f t="shared" si="0"/>
        <v>0</v>
      </c>
      <c r="L51" s="467">
        <f>L41</f>
        <v>3.4285714285714284</v>
      </c>
      <c r="M51" s="467">
        <f>$C$14</f>
        <v>0.613</v>
      </c>
      <c r="N51" s="468">
        <f t="shared" si="1"/>
        <v>0</v>
      </c>
      <c r="O51" s="470">
        <f t="shared" si="3"/>
        <v>0</v>
      </c>
      <c r="P51" s="482">
        <v>1</v>
      </c>
      <c r="Q51" s="484">
        <f t="shared" si="2"/>
        <v>0</v>
      </c>
      <c r="S51" s="130"/>
      <c r="T51" s="130"/>
    </row>
    <row r="52" spans="1:20" ht="15.75">
      <c r="A52" s="393"/>
      <c r="B52" s="426"/>
      <c r="C52" s="111" t="str">
        <f aca="true" t="shared" si="4" ref="C52:C57">C46</f>
        <v>Espada sierra</v>
      </c>
      <c r="D52" s="390"/>
      <c r="I52" s="425">
        <f>'CUARTEL GENERAL'!L27+'CUARTEL GENERAL'!L28</f>
        <v>0</v>
      </c>
      <c r="J52" s="425">
        <v>5</v>
      </c>
      <c r="K52" s="425">
        <f t="shared" si="0"/>
        <v>0</v>
      </c>
      <c r="L52" s="467">
        <f aca="true" t="shared" si="5" ref="L52:M57">L46</f>
        <v>0.5714285714285715</v>
      </c>
      <c r="M52" s="467">
        <f t="shared" si="5"/>
        <v>0.613</v>
      </c>
      <c r="N52" s="468">
        <f t="shared" si="1"/>
        <v>0</v>
      </c>
      <c r="O52" s="470">
        <f t="shared" si="3"/>
        <v>0</v>
      </c>
      <c r="P52" s="482">
        <f aca="true" t="shared" si="6" ref="P52:P57">P46</f>
        <v>5</v>
      </c>
      <c r="Q52" s="484">
        <f t="shared" si="2"/>
        <v>0</v>
      </c>
      <c r="S52" s="130"/>
      <c r="T52" s="130"/>
    </row>
    <row r="53" spans="1:20" ht="15.75">
      <c r="A53" s="393"/>
      <c r="B53" s="426"/>
      <c r="C53" s="111" t="str">
        <f t="shared" si="4"/>
        <v>Arma de energía y pistola o arma cuerpo a cuerpo</v>
      </c>
      <c r="D53" s="390"/>
      <c r="I53" s="425">
        <f>'CUARTEL GENERAL'!L29+'CUARTEL GENERAL'!L30+'CUARTEL GENERAL'!L73+'CUARTEL GENERAL'!L74</f>
        <v>0</v>
      </c>
      <c r="J53" s="425">
        <v>5</v>
      </c>
      <c r="K53" s="425">
        <f t="shared" si="0"/>
        <v>0</v>
      </c>
      <c r="L53" s="467">
        <f t="shared" si="5"/>
        <v>0.5714285714285715</v>
      </c>
      <c r="M53" s="467">
        <f t="shared" si="5"/>
        <v>0.613</v>
      </c>
      <c r="N53" s="468">
        <f t="shared" si="1"/>
        <v>0</v>
      </c>
      <c r="O53" s="470">
        <f t="shared" si="3"/>
        <v>0</v>
      </c>
      <c r="P53" s="482">
        <f t="shared" si="6"/>
        <v>5</v>
      </c>
      <c r="Q53" s="484">
        <f t="shared" si="2"/>
        <v>0</v>
      </c>
      <c r="S53" s="130"/>
      <c r="T53" s="130"/>
    </row>
    <row r="54" spans="1:20" ht="15.75">
      <c r="A54" s="393"/>
      <c r="B54" s="426"/>
      <c r="C54" s="111" t="str">
        <f t="shared" si="4"/>
        <v>Puño de combate </v>
      </c>
      <c r="D54" s="390"/>
      <c r="I54" s="425">
        <f>'CUARTEL GENERAL'!L31+'CUARTEL GENERAL'!L32</f>
        <v>0</v>
      </c>
      <c r="J54" s="425">
        <v>4</v>
      </c>
      <c r="K54" s="425">
        <f t="shared" si="0"/>
        <v>0</v>
      </c>
      <c r="L54" s="467">
        <f t="shared" si="5"/>
        <v>3.4285714285714284</v>
      </c>
      <c r="M54" s="467">
        <f t="shared" si="5"/>
        <v>0.613</v>
      </c>
      <c r="N54" s="468">
        <f t="shared" si="1"/>
        <v>0</v>
      </c>
      <c r="O54" s="470">
        <f t="shared" si="3"/>
        <v>0</v>
      </c>
      <c r="P54" s="482">
        <f t="shared" si="6"/>
        <v>1</v>
      </c>
      <c r="Q54" s="484">
        <f t="shared" si="2"/>
        <v>0</v>
      </c>
      <c r="S54" s="130"/>
      <c r="T54" s="130"/>
    </row>
    <row r="55" spans="1:20" ht="15.75">
      <c r="A55" s="393"/>
      <c r="B55" s="426"/>
      <c r="C55" s="111" t="str">
        <f t="shared" si="4"/>
        <v>Garra relámpago</v>
      </c>
      <c r="D55" s="390"/>
      <c r="I55" s="425">
        <f>'CUARTEL GENERAL'!L33+'CUARTEL GENERAL'!L34</f>
        <v>0</v>
      </c>
      <c r="J55" s="425">
        <v>4</v>
      </c>
      <c r="K55" s="425">
        <f t="shared" si="0"/>
        <v>0</v>
      </c>
      <c r="L55" s="467">
        <f t="shared" si="5"/>
        <v>1.0476190476190477</v>
      </c>
      <c r="M55" s="467">
        <f t="shared" si="5"/>
        <v>0.613</v>
      </c>
      <c r="N55" s="468">
        <f t="shared" si="1"/>
        <v>0</v>
      </c>
      <c r="O55" s="470">
        <f t="shared" si="3"/>
        <v>0</v>
      </c>
      <c r="P55" s="482">
        <f t="shared" si="6"/>
        <v>5</v>
      </c>
      <c r="Q55" s="484">
        <f t="shared" si="2"/>
        <v>0</v>
      </c>
      <c r="S55" s="130"/>
      <c r="T55" s="130"/>
    </row>
    <row r="56" spans="1:20" ht="15.75">
      <c r="A56" s="393"/>
      <c r="B56" s="426"/>
      <c r="C56" s="111" t="str">
        <f t="shared" si="4"/>
        <v>Garras relámpago</v>
      </c>
      <c r="D56" s="390"/>
      <c r="I56" s="425">
        <f>'CUARTEL GENERAL'!L35+'CUARTEL GENERAL'!L36</f>
        <v>0</v>
      </c>
      <c r="J56" s="425">
        <v>5</v>
      </c>
      <c r="K56" s="425">
        <f t="shared" si="0"/>
        <v>0</v>
      </c>
      <c r="L56" s="467">
        <f t="shared" si="5"/>
        <v>1.0476190476190477</v>
      </c>
      <c r="M56" s="467">
        <f t="shared" si="5"/>
        <v>0.613</v>
      </c>
      <c r="N56" s="468">
        <f t="shared" si="1"/>
        <v>0</v>
      </c>
      <c r="O56" s="470">
        <f t="shared" si="3"/>
        <v>0</v>
      </c>
      <c r="P56" s="482">
        <f t="shared" si="6"/>
        <v>5</v>
      </c>
      <c r="Q56" s="484">
        <f t="shared" si="2"/>
        <v>0</v>
      </c>
      <c r="S56" s="130"/>
      <c r="T56" s="130"/>
    </row>
    <row r="57" spans="1:20" ht="15.75">
      <c r="A57" s="393"/>
      <c r="B57" s="426"/>
      <c r="C57" s="111" t="str">
        <f t="shared" si="4"/>
        <v>Martillo del trueno</v>
      </c>
      <c r="D57" s="390"/>
      <c r="I57" s="425">
        <f>'CUARTEL GENERAL'!L37+'CUARTEL GENERAL'!L38</f>
        <v>0</v>
      </c>
      <c r="J57" s="425">
        <v>4</v>
      </c>
      <c r="K57" s="425">
        <f t="shared" si="0"/>
        <v>0</v>
      </c>
      <c r="L57" s="467">
        <f t="shared" si="5"/>
        <v>3.4285714285714284</v>
      </c>
      <c r="M57" s="467">
        <f t="shared" si="5"/>
        <v>0.613</v>
      </c>
      <c r="N57" s="468">
        <f t="shared" si="1"/>
        <v>0</v>
      </c>
      <c r="O57" s="470">
        <f t="shared" si="3"/>
        <v>0</v>
      </c>
      <c r="P57" s="482">
        <f t="shared" si="6"/>
        <v>1</v>
      </c>
      <c r="Q57" s="484">
        <f t="shared" si="2"/>
        <v>0</v>
      </c>
      <c r="S57" s="130"/>
      <c r="T57" s="130"/>
    </row>
    <row r="58" spans="1:20" ht="15.75">
      <c r="A58" s="393">
        <v>6</v>
      </c>
      <c r="B58" s="426" t="s">
        <v>513</v>
      </c>
      <c r="C58" s="390"/>
      <c r="D58" s="390"/>
      <c r="I58" s="425"/>
      <c r="J58" s="425"/>
      <c r="K58" s="425"/>
      <c r="L58" s="467"/>
      <c r="M58" s="467"/>
      <c r="N58" s="468"/>
      <c r="O58" s="470"/>
      <c r="P58" s="482"/>
      <c r="Q58" s="484"/>
      <c r="S58" s="130"/>
      <c r="T58" s="130"/>
    </row>
    <row r="59" spans="1:20" ht="15.75">
      <c r="A59" s="393"/>
      <c r="B59" s="426"/>
      <c r="C59" s="390" t="s">
        <v>502</v>
      </c>
      <c r="D59" s="390"/>
      <c r="I59" s="425">
        <f>'CUARTEL GENERAL'!K40+'CUARTEL GENERAL'!K41+'CUARTEL GENERAL'!K57+'CUARTEL GENERAL'!K58</f>
        <v>0</v>
      </c>
      <c r="J59" s="425">
        <f>4+'CUARTEL GENERAL'!E45</f>
        <v>4</v>
      </c>
      <c r="K59" s="425">
        <f>J59*(I59)</f>
        <v>0</v>
      </c>
      <c r="L59" s="467">
        <f>L35</f>
        <v>0.5714285714285715</v>
      </c>
      <c r="M59" s="467">
        <f>C14</f>
        <v>0.613</v>
      </c>
      <c r="N59" s="468">
        <f>K59*L59*M59</f>
        <v>0</v>
      </c>
      <c r="O59" s="470">
        <f>N59</f>
        <v>0</v>
      </c>
      <c r="P59" s="482">
        <v>5</v>
      </c>
      <c r="Q59" s="484">
        <f>P59*K59</f>
        <v>0</v>
      </c>
      <c r="S59" s="130"/>
      <c r="T59" s="130"/>
    </row>
    <row r="60" spans="1:20" ht="15.75">
      <c r="A60" s="393"/>
      <c r="B60" s="426"/>
      <c r="C60" s="390" t="s">
        <v>503</v>
      </c>
      <c r="D60" s="390"/>
      <c r="I60" s="425">
        <f>'CUARTEL GENERAL'!K42+'CUARTEL GENERAL'!K43+'CUARTEL GENERAL'!K59+'CUARTEL GENERAL'!K60</f>
        <v>0</v>
      </c>
      <c r="J60" s="425">
        <f>3+'CUARTEL GENERAL'!E45</f>
        <v>3</v>
      </c>
      <c r="K60" s="425">
        <f>J60*(I60)</f>
        <v>0</v>
      </c>
      <c r="L60" s="467">
        <f>L41</f>
        <v>3.4285714285714284</v>
      </c>
      <c r="M60" s="467">
        <f>C14</f>
        <v>0.613</v>
      </c>
      <c r="N60" s="468">
        <f>K60*L60*M60</f>
        <v>0</v>
      </c>
      <c r="O60" s="470">
        <f>N60</f>
        <v>0</v>
      </c>
      <c r="P60" s="482">
        <v>1</v>
      </c>
      <c r="Q60" s="484">
        <f>P60*K60</f>
        <v>0</v>
      </c>
      <c r="S60" s="130"/>
      <c r="T60" s="130"/>
    </row>
    <row r="61" spans="1:20" ht="15.75">
      <c r="A61" s="393"/>
      <c r="B61" s="426"/>
      <c r="C61" s="111" t="s">
        <v>502</v>
      </c>
      <c r="D61" s="390"/>
      <c r="I61" s="425">
        <f>'CUARTEL GENERAL'!L40+'CUARTEL GENERAL'!L41+'CUARTEL GENERAL'!L57+'CUARTEL GENERAL'!L58</f>
        <v>0</v>
      </c>
      <c r="J61" s="425">
        <v>5</v>
      </c>
      <c r="K61" s="425">
        <f>J61*(I61)</f>
        <v>0</v>
      </c>
      <c r="L61" s="467">
        <f>L59</f>
        <v>0.5714285714285715</v>
      </c>
      <c r="M61" s="467">
        <f>M59</f>
        <v>0.613</v>
      </c>
      <c r="N61" s="468">
        <f>K61*L61*M61</f>
        <v>0</v>
      </c>
      <c r="O61" s="470">
        <f>N61</f>
        <v>0</v>
      </c>
      <c r="P61" s="482">
        <v>5</v>
      </c>
      <c r="Q61" s="484">
        <f>P61*K61</f>
        <v>0</v>
      </c>
      <c r="S61" s="130"/>
      <c r="T61" s="130"/>
    </row>
    <row r="62" spans="1:20" ht="15.75">
      <c r="A62" s="393"/>
      <c r="B62" s="426"/>
      <c r="C62" s="111" t="s">
        <v>503</v>
      </c>
      <c r="D62" s="390"/>
      <c r="I62" s="425">
        <f>'CUARTEL GENERAL'!L42+'CUARTEL GENERAL'!L43+'CUARTEL GENERAL'!L59+'CUARTEL GENERAL'!L60</f>
        <v>0</v>
      </c>
      <c r="J62" s="425">
        <v>4</v>
      </c>
      <c r="K62" s="425">
        <f>J62*(I62)</f>
        <v>0</v>
      </c>
      <c r="L62" s="467">
        <f>L60</f>
        <v>3.4285714285714284</v>
      </c>
      <c r="M62" s="467">
        <f>M60</f>
        <v>0.613</v>
      </c>
      <c r="N62" s="468">
        <f>K62*L62*M62</f>
        <v>0</v>
      </c>
      <c r="O62" s="470">
        <f>N62</f>
        <v>0</v>
      </c>
      <c r="P62" s="482">
        <v>1</v>
      </c>
      <c r="Q62" s="484">
        <f>P62*K62</f>
        <v>0</v>
      </c>
      <c r="S62" s="130"/>
      <c r="T62" s="130"/>
    </row>
    <row r="63" spans="1:20" ht="15.75">
      <c r="A63" s="393">
        <v>7</v>
      </c>
      <c r="B63" s="426" t="s">
        <v>517</v>
      </c>
      <c r="C63" s="111"/>
      <c r="D63" s="390"/>
      <c r="I63" s="425"/>
      <c r="J63" s="425"/>
      <c r="K63" s="425"/>
      <c r="L63" s="467"/>
      <c r="M63" s="467"/>
      <c r="N63" s="468"/>
      <c r="O63" s="470"/>
      <c r="P63" s="482"/>
      <c r="Q63" s="484"/>
      <c r="S63" s="130"/>
      <c r="T63" s="130"/>
    </row>
    <row r="64" spans="1:20" ht="15.75">
      <c r="A64" s="393"/>
      <c r="B64" s="426"/>
      <c r="C64" s="111" t="s">
        <v>494</v>
      </c>
      <c r="D64" s="390"/>
      <c r="I64" s="425">
        <f>'CUARTEL GENERAL'!K75</f>
        <v>0</v>
      </c>
      <c r="J64" s="425">
        <v>3</v>
      </c>
      <c r="K64" s="425">
        <f>J64*(I64)</f>
        <v>0</v>
      </c>
      <c r="L64" s="467">
        <f>L35</f>
        <v>0.5714285714285715</v>
      </c>
      <c r="M64" s="467">
        <f>C14</f>
        <v>0.613</v>
      </c>
      <c r="N64" s="468">
        <f>K64*L64*M64</f>
        <v>0</v>
      </c>
      <c r="O64" s="470">
        <f>N64</f>
        <v>0</v>
      </c>
      <c r="P64" s="482">
        <v>5</v>
      </c>
      <c r="Q64" s="484">
        <f>P64*K64</f>
        <v>0</v>
      </c>
      <c r="S64" s="130"/>
      <c r="T64" s="130"/>
    </row>
    <row r="65" spans="1:20" ht="15.75">
      <c r="A65" s="393">
        <v>8</v>
      </c>
      <c r="B65" s="426" t="s">
        <v>527</v>
      </c>
      <c r="C65" s="111"/>
      <c r="D65" s="390"/>
      <c r="I65" s="425"/>
      <c r="J65" s="425"/>
      <c r="K65" s="425"/>
      <c r="L65" s="467"/>
      <c r="M65" s="467"/>
      <c r="N65" s="468"/>
      <c r="O65" s="470"/>
      <c r="P65" s="482"/>
      <c r="Q65" s="484"/>
      <c r="S65" s="130"/>
      <c r="T65" s="130"/>
    </row>
    <row r="66" spans="1:20" ht="15.75">
      <c r="A66" s="111"/>
      <c r="B66" s="426"/>
      <c r="C66" s="432" t="s">
        <v>300</v>
      </c>
      <c r="D66" s="390"/>
      <c r="I66" s="425">
        <f>'CUARTEL GENERAL'!K92+'CUARTEL GENERAL'!K94</f>
        <v>0</v>
      </c>
      <c r="J66" s="425">
        <v>2</v>
      </c>
      <c r="K66" s="425">
        <f aca="true" t="shared" si="7" ref="K66:K75">J66*(I66)</f>
        <v>0</v>
      </c>
      <c r="L66" s="467">
        <f>L35</f>
        <v>0.5714285714285715</v>
      </c>
      <c r="M66" s="467">
        <f aca="true" t="shared" si="8" ref="M66:M75">$C$15</f>
        <v>0.546</v>
      </c>
      <c r="N66" s="468">
        <f aca="true" t="shared" si="9" ref="N66:N75">K66*L66*M66</f>
        <v>0</v>
      </c>
      <c r="O66" s="470"/>
      <c r="P66" s="482">
        <v>4</v>
      </c>
      <c r="Q66" s="484">
        <f aca="true" t="shared" si="10" ref="Q66:Q75">P66*K66</f>
        <v>0</v>
      </c>
      <c r="S66" s="130"/>
      <c r="T66" s="130"/>
    </row>
    <row r="67" spans="1:20" ht="15.75">
      <c r="A67" s="111"/>
      <c r="B67" s="426"/>
      <c r="C67" s="432" t="s">
        <v>528</v>
      </c>
      <c r="D67" s="390"/>
      <c r="I67" s="425">
        <f>'CUARTEL GENERAL'!K93+'CUARTEL GENERAL'!K95</f>
        <v>0</v>
      </c>
      <c r="J67" s="425">
        <v>3</v>
      </c>
      <c r="K67" s="425">
        <f t="shared" si="7"/>
        <v>0</v>
      </c>
      <c r="L67" s="467">
        <f>L66</f>
        <v>0.5714285714285715</v>
      </c>
      <c r="M67" s="467">
        <f t="shared" si="8"/>
        <v>0.546</v>
      </c>
      <c r="N67" s="468">
        <f t="shared" si="9"/>
        <v>0</v>
      </c>
      <c r="O67" s="470"/>
      <c r="P67" s="482">
        <v>4</v>
      </c>
      <c r="Q67" s="484">
        <f t="shared" si="10"/>
        <v>0</v>
      </c>
      <c r="S67" s="130"/>
      <c r="T67" s="130"/>
    </row>
    <row r="68" spans="1:20" ht="15.75">
      <c r="A68" s="111"/>
      <c r="B68" s="426"/>
      <c r="C68" s="432" t="s">
        <v>529</v>
      </c>
      <c r="D68" s="390"/>
      <c r="I68" s="425">
        <f>'CUARTEL GENERAL'!K96+'CUARTEL GENERAL'!K98</f>
        <v>0</v>
      </c>
      <c r="J68" s="425">
        <v>2</v>
      </c>
      <c r="K68" s="425">
        <f t="shared" si="7"/>
        <v>0</v>
      </c>
      <c r="L68" s="467">
        <f>L66</f>
        <v>0.5714285714285715</v>
      </c>
      <c r="M68" s="467">
        <f t="shared" si="8"/>
        <v>0.546</v>
      </c>
      <c r="N68" s="468">
        <f t="shared" si="9"/>
        <v>0</v>
      </c>
      <c r="O68" s="470">
        <f>N68</f>
        <v>0</v>
      </c>
      <c r="P68" s="482">
        <v>4</v>
      </c>
      <c r="Q68" s="484">
        <f t="shared" si="10"/>
        <v>0</v>
      </c>
      <c r="S68" s="130"/>
      <c r="T68" s="130"/>
    </row>
    <row r="69" spans="1:20" ht="15.75">
      <c r="A69" s="111"/>
      <c r="B69" s="426"/>
      <c r="C69" s="432" t="s">
        <v>492</v>
      </c>
      <c r="D69" s="390"/>
      <c r="I69" s="425">
        <f>'CUARTEL GENERAL'!K97+'CUARTEL GENERAL'!K99</f>
        <v>0</v>
      </c>
      <c r="J69" s="425">
        <v>3</v>
      </c>
      <c r="K69" s="425">
        <f t="shared" si="7"/>
        <v>0</v>
      </c>
      <c r="L69" s="467">
        <f>L66</f>
        <v>0.5714285714285715</v>
      </c>
      <c r="M69" s="467">
        <f t="shared" si="8"/>
        <v>0.546</v>
      </c>
      <c r="N69" s="468">
        <f t="shared" si="9"/>
        <v>0</v>
      </c>
      <c r="O69" s="470">
        <f>N69</f>
        <v>0</v>
      </c>
      <c r="P69" s="482">
        <v>4</v>
      </c>
      <c r="Q69" s="484">
        <f t="shared" si="10"/>
        <v>0</v>
      </c>
      <c r="S69" s="130"/>
      <c r="T69" s="130"/>
    </row>
    <row r="70" spans="1:20" ht="15.75">
      <c r="A70" s="111"/>
      <c r="B70" s="426"/>
      <c r="C70" s="432" t="s">
        <v>504</v>
      </c>
      <c r="D70" s="390"/>
      <c r="I70" s="425">
        <f>'CUARTEL GENERAL'!K100+'CUARTEL GENERAL'!K101</f>
        <v>0</v>
      </c>
      <c r="J70" s="425">
        <v>2</v>
      </c>
      <c r="K70" s="425">
        <f t="shared" si="7"/>
        <v>0</v>
      </c>
      <c r="L70" s="467">
        <f>L41</f>
        <v>3.4285714285714284</v>
      </c>
      <c r="M70" s="467">
        <f t="shared" si="8"/>
        <v>0.546</v>
      </c>
      <c r="N70" s="468">
        <f t="shared" si="9"/>
        <v>0</v>
      </c>
      <c r="O70" s="470">
        <f>N70</f>
        <v>0</v>
      </c>
      <c r="P70" s="482">
        <v>1</v>
      </c>
      <c r="Q70" s="484">
        <f t="shared" si="10"/>
        <v>0</v>
      </c>
      <c r="S70" s="130"/>
      <c r="T70" s="130"/>
    </row>
    <row r="71" spans="1:20" ht="15.75">
      <c r="A71" s="111"/>
      <c r="B71" s="426"/>
      <c r="C71" s="111" t="s">
        <v>300</v>
      </c>
      <c r="D71" s="390"/>
      <c r="I71" s="425">
        <f>'CUARTEL GENERAL'!L92+'CUARTEL GENERAL'!L94</f>
        <v>0</v>
      </c>
      <c r="J71" s="425">
        <v>3</v>
      </c>
      <c r="K71" s="425">
        <f t="shared" si="7"/>
        <v>0</v>
      </c>
      <c r="L71" s="467">
        <f>L66</f>
        <v>0.5714285714285715</v>
      </c>
      <c r="M71" s="467">
        <f t="shared" si="8"/>
        <v>0.546</v>
      </c>
      <c r="N71" s="468">
        <f t="shared" si="9"/>
        <v>0</v>
      </c>
      <c r="O71" s="470"/>
      <c r="P71" s="482">
        <v>4</v>
      </c>
      <c r="Q71" s="484">
        <f t="shared" si="10"/>
        <v>0</v>
      </c>
      <c r="S71" s="130"/>
      <c r="T71" s="130"/>
    </row>
    <row r="72" spans="1:20" ht="15.75">
      <c r="A72" s="111"/>
      <c r="B72" s="426"/>
      <c r="C72" s="111" t="s">
        <v>528</v>
      </c>
      <c r="D72" s="390"/>
      <c r="I72" s="425">
        <f>'CUARTEL GENERAL'!L93+'CUARTEL GENERAL'!L95</f>
        <v>0</v>
      </c>
      <c r="J72" s="425">
        <v>4</v>
      </c>
      <c r="K72" s="425">
        <f t="shared" si="7"/>
        <v>0</v>
      </c>
      <c r="L72" s="467">
        <f>L67</f>
        <v>0.5714285714285715</v>
      </c>
      <c r="M72" s="467">
        <f t="shared" si="8"/>
        <v>0.546</v>
      </c>
      <c r="N72" s="468">
        <f t="shared" si="9"/>
        <v>0</v>
      </c>
      <c r="O72" s="470"/>
      <c r="P72" s="482">
        <v>4</v>
      </c>
      <c r="Q72" s="484">
        <f t="shared" si="10"/>
        <v>0</v>
      </c>
      <c r="S72" s="130"/>
      <c r="T72" s="130"/>
    </row>
    <row r="73" spans="1:20" ht="15.75">
      <c r="A73" s="111"/>
      <c r="B73" s="426"/>
      <c r="C73" s="111" t="s">
        <v>529</v>
      </c>
      <c r="D73" s="390"/>
      <c r="I73" s="425">
        <f>'CUARTEL GENERAL'!L96+'CUARTEL GENERAL'!L98</f>
        <v>0</v>
      </c>
      <c r="J73" s="425">
        <v>3</v>
      </c>
      <c r="K73" s="425">
        <f t="shared" si="7"/>
        <v>0</v>
      </c>
      <c r="L73" s="467">
        <f>L68</f>
        <v>0.5714285714285715</v>
      </c>
      <c r="M73" s="467">
        <f t="shared" si="8"/>
        <v>0.546</v>
      </c>
      <c r="N73" s="468">
        <f t="shared" si="9"/>
        <v>0</v>
      </c>
      <c r="O73" s="470">
        <f>N73</f>
        <v>0</v>
      </c>
      <c r="P73" s="482">
        <v>4</v>
      </c>
      <c r="Q73" s="484">
        <f t="shared" si="10"/>
        <v>0</v>
      </c>
      <c r="S73" s="130"/>
      <c r="T73" s="130"/>
    </row>
    <row r="74" spans="1:20" ht="15.75">
      <c r="A74" s="111"/>
      <c r="B74" s="426"/>
      <c r="C74" s="111" t="s">
        <v>492</v>
      </c>
      <c r="D74" s="390"/>
      <c r="I74" s="425">
        <f>'CUARTEL GENERAL'!L97+'CUARTEL GENERAL'!L99</f>
        <v>0</v>
      </c>
      <c r="J74" s="425">
        <v>4</v>
      </c>
      <c r="K74" s="425">
        <f t="shared" si="7"/>
        <v>0</v>
      </c>
      <c r="L74" s="467">
        <f>L69</f>
        <v>0.5714285714285715</v>
      </c>
      <c r="M74" s="467">
        <f t="shared" si="8"/>
        <v>0.546</v>
      </c>
      <c r="N74" s="468">
        <f t="shared" si="9"/>
        <v>0</v>
      </c>
      <c r="O74" s="470">
        <f>N74</f>
        <v>0</v>
      </c>
      <c r="P74" s="482">
        <v>4</v>
      </c>
      <c r="Q74" s="484">
        <f t="shared" si="10"/>
        <v>0</v>
      </c>
      <c r="S74" s="130"/>
      <c r="T74" s="130"/>
    </row>
    <row r="75" spans="1:20" ht="15.75">
      <c r="A75" s="111"/>
      <c r="B75" s="426"/>
      <c r="C75" s="111" t="s">
        <v>504</v>
      </c>
      <c r="D75" s="390"/>
      <c r="I75" s="425">
        <f>'CUARTEL GENERAL'!L100+'CUARTEL GENERAL'!L101</f>
        <v>0</v>
      </c>
      <c r="J75" s="425">
        <v>3</v>
      </c>
      <c r="K75" s="425">
        <f t="shared" si="7"/>
        <v>0</v>
      </c>
      <c r="L75" s="467">
        <f>L70</f>
        <v>3.4285714285714284</v>
      </c>
      <c r="M75" s="467">
        <f t="shared" si="8"/>
        <v>0.546</v>
      </c>
      <c r="N75" s="468">
        <f t="shared" si="9"/>
        <v>0</v>
      </c>
      <c r="O75" s="470">
        <f>N75</f>
        <v>0</v>
      </c>
      <c r="P75" s="482">
        <v>1</v>
      </c>
      <c r="Q75" s="484">
        <f t="shared" si="10"/>
        <v>0</v>
      </c>
      <c r="S75" s="130"/>
      <c r="T75" s="130"/>
    </row>
    <row r="76" spans="2:20" ht="16.5" thickBot="1">
      <c r="B76" s="390"/>
      <c r="C76" s="426"/>
      <c r="D76" s="390"/>
      <c r="I76" s="425"/>
      <c r="J76" s="425"/>
      <c r="K76" s="425"/>
      <c r="L76" s="467"/>
      <c r="M76" s="467"/>
      <c r="N76" s="468"/>
      <c r="O76" s="469"/>
      <c r="P76" s="482"/>
      <c r="Q76" s="483"/>
      <c r="S76" s="130"/>
      <c r="T76" s="130"/>
    </row>
    <row r="77" spans="1:20" ht="13.5" thickBot="1">
      <c r="A77" s="389"/>
      <c r="B77" s="388" t="s">
        <v>13</v>
      </c>
      <c r="C77" s="398"/>
      <c r="D77" s="398"/>
      <c r="E77" s="398"/>
      <c r="F77" s="398"/>
      <c r="G77" s="398"/>
      <c r="H77" s="428"/>
      <c r="I77" s="381">
        <f>SUM(I78:I85)</f>
        <v>0</v>
      </c>
      <c r="J77" s="381"/>
      <c r="K77" s="381">
        <f>SUM(K78:K85)</f>
        <v>0</v>
      </c>
      <c r="L77" s="436"/>
      <c r="M77" s="436"/>
      <c r="N77" s="471">
        <f>SUM(N78:N85)</f>
        <v>0</v>
      </c>
      <c r="O77" s="471">
        <f>SUM(O78:O85)</f>
        <v>0</v>
      </c>
      <c r="P77" s="502"/>
      <c r="Q77" s="503">
        <f>SUM(Q78:Q85)</f>
        <v>0</v>
      </c>
      <c r="S77" s="130"/>
      <c r="T77" s="130"/>
    </row>
    <row r="78" spans="1:20" ht="15.75">
      <c r="A78" s="393">
        <v>1</v>
      </c>
      <c r="B78" s="424" t="s">
        <v>425</v>
      </c>
      <c r="C78" s="390"/>
      <c r="D78" s="390"/>
      <c r="I78" s="425"/>
      <c r="J78" s="425"/>
      <c r="K78" s="425"/>
      <c r="L78" s="467"/>
      <c r="M78" s="467"/>
      <c r="N78" s="468"/>
      <c r="O78" s="469"/>
      <c r="P78" s="482"/>
      <c r="Q78" s="483"/>
      <c r="S78" s="130"/>
      <c r="T78" s="130"/>
    </row>
    <row r="79" spans="1:20" ht="12.75">
      <c r="A79" s="393"/>
      <c r="B79" s="390"/>
      <c r="C79" s="390" t="s">
        <v>537</v>
      </c>
      <c r="D79" s="390"/>
      <c r="I79" s="425">
        <f>LINEA!K5</f>
        <v>0</v>
      </c>
      <c r="J79" s="425">
        <v>1</v>
      </c>
      <c r="K79" s="425">
        <f>J79*(I79)</f>
        <v>0</v>
      </c>
      <c r="L79" s="467">
        <f>L66</f>
        <v>0.5714285714285715</v>
      </c>
      <c r="M79" s="467">
        <f>$C$15</f>
        <v>0.546</v>
      </c>
      <c r="N79" s="468">
        <f>K79*L79*M79</f>
        <v>0</v>
      </c>
      <c r="O79" s="469"/>
      <c r="P79" s="482">
        <v>4</v>
      </c>
      <c r="Q79" s="483">
        <f>K79*P79</f>
        <v>0</v>
      </c>
      <c r="S79" s="130"/>
      <c r="T79" s="130"/>
    </row>
    <row r="80" spans="1:20" ht="12.75">
      <c r="A80" s="393"/>
      <c r="B80" s="390"/>
      <c r="C80" s="390" t="s">
        <v>536</v>
      </c>
      <c r="D80" s="390"/>
      <c r="I80" s="425">
        <f>LINEA!K6+LINEA!K7</f>
        <v>0</v>
      </c>
      <c r="J80" s="425">
        <v>2</v>
      </c>
      <c r="K80" s="425">
        <f>J80*(I80)</f>
        <v>0</v>
      </c>
      <c r="L80" s="467">
        <f>L67</f>
        <v>0.5714285714285715</v>
      </c>
      <c r="M80" s="467">
        <f>$C$15</f>
        <v>0.546</v>
      </c>
      <c r="N80" s="468">
        <f>K80*L80*M80</f>
        <v>0</v>
      </c>
      <c r="O80" s="469"/>
      <c r="P80" s="482">
        <v>4</v>
      </c>
      <c r="Q80" s="483">
        <f>K80*P80</f>
        <v>0</v>
      </c>
      <c r="S80" s="130"/>
      <c r="T80" s="130"/>
    </row>
    <row r="81" spans="1:20" ht="12.75">
      <c r="A81" s="393"/>
      <c r="B81" s="390"/>
      <c r="C81" s="368" t="s">
        <v>535</v>
      </c>
      <c r="D81" s="390"/>
      <c r="I81" s="425">
        <f>LINEA!K8+LINEA!K9</f>
        <v>0</v>
      </c>
      <c r="J81" s="425">
        <v>3</v>
      </c>
      <c r="K81" s="425">
        <f>J81*(I81)</f>
        <v>0</v>
      </c>
      <c r="L81" s="467">
        <f>L68</f>
        <v>0.5714285714285715</v>
      </c>
      <c r="M81" s="467">
        <f>$C$15</f>
        <v>0.546</v>
      </c>
      <c r="N81" s="468">
        <f>K81*L81*M81</f>
        <v>0</v>
      </c>
      <c r="O81" s="470"/>
      <c r="P81" s="482">
        <v>4</v>
      </c>
      <c r="Q81" s="483">
        <f>K81*P81</f>
        <v>0</v>
      </c>
      <c r="S81" s="130"/>
      <c r="T81" s="130"/>
    </row>
    <row r="82" spans="1:20" ht="12.75">
      <c r="A82" s="393"/>
      <c r="B82" s="390"/>
      <c r="C82" s="432" t="s">
        <v>492</v>
      </c>
      <c r="D82" s="390"/>
      <c r="I82" s="425">
        <f>LINEA!K10+LINEA!K11</f>
        <v>0</v>
      </c>
      <c r="J82" s="425">
        <v>3</v>
      </c>
      <c r="K82" s="425">
        <f>J82*(I82)</f>
        <v>0</v>
      </c>
      <c r="L82" s="467">
        <f>L69</f>
        <v>0.5714285714285715</v>
      </c>
      <c r="M82" s="467">
        <f>$C$15</f>
        <v>0.546</v>
      </c>
      <c r="N82" s="468">
        <f>K82*L82*M82</f>
        <v>0</v>
      </c>
      <c r="O82" s="470">
        <f>N82</f>
        <v>0</v>
      </c>
      <c r="P82" s="482">
        <v>4</v>
      </c>
      <c r="Q82" s="483">
        <f>K82*P82</f>
        <v>0</v>
      </c>
      <c r="S82" s="130"/>
      <c r="T82" s="130"/>
    </row>
    <row r="83" spans="1:20" ht="12.75">
      <c r="A83" s="393"/>
      <c r="B83" s="390"/>
      <c r="C83" s="432" t="s">
        <v>504</v>
      </c>
      <c r="D83" s="390"/>
      <c r="I83" s="425">
        <f>LINEA!K12+LINEA!K13</f>
        <v>0</v>
      </c>
      <c r="J83" s="425">
        <v>2</v>
      </c>
      <c r="K83" s="425">
        <f>J83*(I83)</f>
        <v>0</v>
      </c>
      <c r="L83" s="467">
        <f>L70</f>
        <v>3.4285714285714284</v>
      </c>
      <c r="M83" s="467">
        <f>$C$15</f>
        <v>0.546</v>
      </c>
      <c r="N83" s="468">
        <f>K83*L83*M83</f>
        <v>0</v>
      </c>
      <c r="O83" s="470">
        <f>N83</f>
        <v>0</v>
      </c>
      <c r="P83" s="482">
        <v>1</v>
      </c>
      <c r="Q83" s="483">
        <f>K83*P83</f>
        <v>0</v>
      </c>
      <c r="S83" s="130"/>
      <c r="T83" s="130"/>
    </row>
    <row r="84" spans="1:20" ht="15.75">
      <c r="A84" s="393"/>
      <c r="B84" s="424"/>
      <c r="C84" s="390"/>
      <c r="D84" s="390"/>
      <c r="I84" s="425"/>
      <c r="J84" s="425"/>
      <c r="K84" s="425"/>
      <c r="L84" s="467"/>
      <c r="M84" s="467"/>
      <c r="N84" s="468"/>
      <c r="O84" s="469"/>
      <c r="P84" s="482"/>
      <c r="Q84" s="483"/>
      <c r="S84" s="130"/>
      <c r="T84" s="130"/>
    </row>
    <row r="85" spans="1:20" ht="13.5" thickBot="1">
      <c r="A85" s="393">
        <v>6</v>
      </c>
      <c r="B85" s="390"/>
      <c r="C85" s="390"/>
      <c r="D85" s="390"/>
      <c r="I85" s="425"/>
      <c r="J85" s="425"/>
      <c r="K85" s="425">
        <f>J85*(I85)</f>
        <v>0</v>
      </c>
      <c r="L85" s="467"/>
      <c r="M85" s="467"/>
      <c r="N85" s="468"/>
      <c r="O85" s="469"/>
      <c r="P85" s="482"/>
      <c r="Q85" s="483"/>
      <c r="S85" s="130"/>
      <c r="T85" s="130"/>
    </row>
    <row r="86" spans="1:20" ht="13.5" thickBot="1">
      <c r="A86" s="389"/>
      <c r="B86" s="388" t="s">
        <v>14</v>
      </c>
      <c r="C86" s="398"/>
      <c r="D86" s="398"/>
      <c r="E86" s="398"/>
      <c r="F86" s="398"/>
      <c r="G86" s="398"/>
      <c r="H86" s="428"/>
      <c r="I86" s="381">
        <f>SUM(I87:I126)</f>
        <v>0</v>
      </c>
      <c r="J86" s="381"/>
      <c r="K86" s="381">
        <f>SUM(K87:K126)</f>
        <v>0</v>
      </c>
      <c r="L86" s="436">
        <f>SUM(L87:L126)</f>
        <v>59.04761904761905</v>
      </c>
      <c r="M86" s="436">
        <f>SUM(M87:M126)</f>
        <v>17.471999999999994</v>
      </c>
      <c r="N86" s="471">
        <f>SUM(N87:N126)</f>
        <v>0</v>
      </c>
      <c r="O86" s="471">
        <f>SUM(O87:O126)</f>
        <v>0</v>
      </c>
      <c r="P86" s="502"/>
      <c r="Q86" s="503">
        <f>SUM(Q87:Q126)</f>
        <v>0</v>
      </c>
      <c r="S86" s="130"/>
      <c r="T86" s="130"/>
    </row>
    <row r="87" spans="1:20" ht="15.75">
      <c r="A87" s="393">
        <v>1</v>
      </c>
      <c r="B87" s="424" t="s">
        <v>538</v>
      </c>
      <c r="C87" s="390"/>
      <c r="D87" s="390"/>
      <c r="I87" s="425"/>
      <c r="J87" s="425"/>
      <c r="K87" s="425"/>
      <c r="L87" s="467"/>
      <c r="M87" s="467"/>
      <c r="N87" s="468"/>
      <c r="O87" s="469"/>
      <c r="P87" s="482"/>
      <c r="Q87" s="483"/>
      <c r="S87" s="130"/>
      <c r="T87" s="130"/>
    </row>
    <row r="88" spans="1:20" ht="12.75">
      <c r="A88" s="393"/>
      <c r="B88" s="390"/>
      <c r="C88" s="390" t="s">
        <v>186</v>
      </c>
      <c r="D88" s="390"/>
      <c r="I88" s="425">
        <f>ELITE!K13</f>
        <v>0</v>
      </c>
      <c r="J88" s="425">
        <v>2</v>
      </c>
      <c r="K88" s="425">
        <f>I88*J88</f>
        <v>0</v>
      </c>
      <c r="L88" s="468">
        <f>I10</f>
        <v>4.2857142857142865</v>
      </c>
      <c r="M88" s="467">
        <f>$C$15</f>
        <v>0.546</v>
      </c>
      <c r="N88" s="468">
        <f>K88*L88*M88</f>
        <v>0</v>
      </c>
      <c r="O88" s="470">
        <f>N88</f>
        <v>0</v>
      </c>
      <c r="P88" s="482">
        <v>4</v>
      </c>
      <c r="Q88" s="484">
        <f>K88*P88</f>
        <v>0</v>
      </c>
      <c r="R88" s="486"/>
      <c r="S88" s="130"/>
      <c r="T88" s="130"/>
    </row>
    <row r="89" spans="1:20" ht="12.75">
      <c r="A89" s="393"/>
      <c r="B89" s="390"/>
      <c r="C89" s="390" t="s">
        <v>300</v>
      </c>
      <c r="D89" s="390"/>
      <c r="I89" s="425">
        <f>ELITE!K12</f>
        <v>0</v>
      </c>
      <c r="J89" s="425">
        <f>2</f>
        <v>2</v>
      </c>
      <c r="K89" s="425">
        <f>I89*J89</f>
        <v>0</v>
      </c>
      <c r="L89" s="468">
        <f>I14</f>
        <v>1.7142857142857142</v>
      </c>
      <c r="M89" s="467">
        <f>$C$15</f>
        <v>0.546</v>
      </c>
      <c r="N89" s="468">
        <f>K89*L89*M89</f>
        <v>0</v>
      </c>
      <c r="O89" s="470"/>
      <c r="P89" s="482">
        <v>4</v>
      </c>
      <c r="Q89" s="484">
        <f>K89*P89</f>
        <v>0</v>
      </c>
      <c r="R89" s="486"/>
      <c r="S89" s="130"/>
      <c r="T89" s="130"/>
    </row>
    <row r="90" spans="1:20" ht="15.75">
      <c r="A90" s="393">
        <v>2</v>
      </c>
      <c r="B90" s="424" t="s">
        <v>539</v>
      </c>
      <c r="C90" s="390"/>
      <c r="D90" s="390"/>
      <c r="I90" s="425"/>
      <c r="J90" s="425"/>
      <c r="K90" s="425"/>
      <c r="L90" s="467"/>
      <c r="M90" s="467"/>
      <c r="N90" s="468"/>
      <c r="O90" s="469"/>
      <c r="P90" s="482"/>
      <c r="Q90" s="484"/>
      <c r="S90" s="130"/>
      <c r="T90" s="130"/>
    </row>
    <row r="91" spans="1:20" ht="15.75">
      <c r="A91" s="393"/>
      <c r="B91" s="424"/>
      <c r="C91" s="390" t="s">
        <v>540</v>
      </c>
      <c r="D91" s="390"/>
      <c r="I91" s="425">
        <f>ELITE!K5</f>
        <v>0</v>
      </c>
      <c r="J91" s="425">
        <v>2</v>
      </c>
      <c r="K91" s="425">
        <f aca="true" t="shared" si="11" ref="K91:K100">I91*J91</f>
        <v>0</v>
      </c>
      <c r="L91" s="467">
        <f>L35</f>
        <v>0.5714285714285715</v>
      </c>
      <c r="M91" s="467">
        <f aca="true" t="shared" si="12" ref="M91:M100">$C$15</f>
        <v>0.546</v>
      </c>
      <c r="N91" s="468">
        <f aca="true" t="shared" si="13" ref="N91:N100">K91*L91*M91</f>
        <v>0</v>
      </c>
      <c r="O91" s="470">
        <f aca="true" t="shared" si="14" ref="O91:O100">N91</f>
        <v>0</v>
      </c>
      <c r="P91" s="482">
        <v>4</v>
      </c>
      <c r="Q91" s="484">
        <f aca="true" t="shared" si="15" ref="Q91:Q100">K91*P91</f>
        <v>0</v>
      </c>
      <c r="S91" s="130"/>
      <c r="T91" s="130"/>
    </row>
    <row r="92" spans="1:20" ht="15.75">
      <c r="A92" s="393"/>
      <c r="B92" s="424"/>
      <c r="C92" s="390" t="s">
        <v>541</v>
      </c>
      <c r="D92" s="390"/>
      <c r="I92" s="425">
        <f>ELITE!K8</f>
        <v>0</v>
      </c>
      <c r="J92" s="425">
        <v>3</v>
      </c>
      <c r="K92" s="425">
        <f t="shared" si="11"/>
        <v>0</v>
      </c>
      <c r="L92" s="467">
        <f>L40</f>
        <v>1.0476190476190477</v>
      </c>
      <c r="M92" s="467">
        <f t="shared" si="12"/>
        <v>0.546</v>
      </c>
      <c r="N92" s="468">
        <f t="shared" si="13"/>
        <v>0</v>
      </c>
      <c r="O92" s="470">
        <f t="shared" si="14"/>
        <v>0</v>
      </c>
      <c r="P92" s="482">
        <v>4</v>
      </c>
      <c r="Q92" s="484">
        <f t="shared" si="15"/>
        <v>0</v>
      </c>
      <c r="S92" s="130"/>
      <c r="T92" s="130"/>
    </row>
    <row r="93" spans="1:20" ht="15.75">
      <c r="A93" s="393"/>
      <c r="B93" s="424"/>
      <c r="C93" s="390" t="s">
        <v>542</v>
      </c>
      <c r="D93" s="390"/>
      <c r="I93" s="425">
        <f>ELITE!K6</f>
        <v>0</v>
      </c>
      <c r="J93" s="425">
        <v>2</v>
      </c>
      <c r="K93" s="425">
        <f t="shared" si="11"/>
        <v>0</v>
      </c>
      <c r="L93" s="467">
        <f>L41</f>
        <v>3.4285714285714284</v>
      </c>
      <c r="M93" s="467">
        <f t="shared" si="12"/>
        <v>0.546</v>
      </c>
      <c r="N93" s="468">
        <f t="shared" si="13"/>
        <v>0</v>
      </c>
      <c r="O93" s="470">
        <f t="shared" si="14"/>
        <v>0</v>
      </c>
      <c r="P93" s="482">
        <v>1</v>
      </c>
      <c r="Q93" s="484">
        <f t="shared" si="15"/>
        <v>0</v>
      </c>
      <c r="S93" s="130"/>
      <c r="T93" s="130"/>
    </row>
    <row r="94" spans="1:20" ht="15.75">
      <c r="A94" s="393"/>
      <c r="B94" s="424"/>
      <c r="C94" s="390" t="s">
        <v>291</v>
      </c>
      <c r="D94" s="390"/>
      <c r="I94" s="425">
        <f>ELITE!K7</f>
        <v>0</v>
      </c>
      <c r="J94" s="425">
        <v>2</v>
      </c>
      <c r="K94" s="425">
        <f t="shared" si="11"/>
        <v>0</v>
      </c>
      <c r="L94" s="467">
        <f>L41</f>
        <v>3.4285714285714284</v>
      </c>
      <c r="M94" s="467">
        <f t="shared" si="12"/>
        <v>0.546</v>
      </c>
      <c r="N94" s="468">
        <f t="shared" si="13"/>
        <v>0</v>
      </c>
      <c r="O94" s="470">
        <f t="shared" si="14"/>
        <v>0</v>
      </c>
      <c r="P94" s="482">
        <v>1</v>
      </c>
      <c r="Q94" s="484">
        <f t="shared" si="15"/>
        <v>0</v>
      </c>
      <c r="S94" s="130"/>
      <c r="T94" s="130"/>
    </row>
    <row r="95" spans="1:20" ht="15.75">
      <c r="A95" s="393"/>
      <c r="B95" s="424"/>
      <c r="C95" s="390" t="s">
        <v>169</v>
      </c>
      <c r="D95" s="390"/>
      <c r="I95" s="425">
        <f>ELITE!K9</f>
        <v>0</v>
      </c>
      <c r="J95" s="425">
        <v>2</v>
      </c>
      <c r="K95" s="425">
        <f t="shared" si="11"/>
        <v>0</v>
      </c>
      <c r="L95" s="467">
        <f>L41</f>
        <v>3.4285714285714284</v>
      </c>
      <c r="M95" s="467">
        <f t="shared" si="12"/>
        <v>0.546</v>
      </c>
      <c r="N95" s="468">
        <f t="shared" si="13"/>
        <v>0</v>
      </c>
      <c r="O95" s="470">
        <f t="shared" si="14"/>
        <v>0</v>
      </c>
      <c r="P95" s="482">
        <v>1</v>
      </c>
      <c r="Q95" s="484">
        <f t="shared" si="15"/>
        <v>0</v>
      </c>
      <c r="S95" s="130"/>
      <c r="T95" s="130"/>
    </row>
    <row r="96" spans="1:20" ht="15.75">
      <c r="A96" s="393"/>
      <c r="B96" s="424"/>
      <c r="C96" s="111" t="s">
        <v>540</v>
      </c>
      <c r="D96" s="390"/>
      <c r="I96" s="425">
        <f>ELITE!L5</f>
        <v>0</v>
      </c>
      <c r="J96" s="425">
        <v>3</v>
      </c>
      <c r="K96" s="425">
        <f t="shared" si="11"/>
        <v>0</v>
      </c>
      <c r="L96" s="467">
        <f>L91</f>
        <v>0.5714285714285715</v>
      </c>
      <c r="M96" s="467">
        <f t="shared" si="12"/>
        <v>0.546</v>
      </c>
      <c r="N96" s="468">
        <f t="shared" si="13"/>
        <v>0</v>
      </c>
      <c r="O96" s="470">
        <f t="shared" si="14"/>
        <v>0</v>
      </c>
      <c r="P96" s="482">
        <v>4</v>
      </c>
      <c r="Q96" s="484">
        <f t="shared" si="15"/>
        <v>0</v>
      </c>
      <c r="S96" s="130"/>
      <c r="T96" s="130"/>
    </row>
    <row r="97" spans="1:20" ht="15.75">
      <c r="A97" s="393"/>
      <c r="B97" s="424"/>
      <c r="C97" s="111" t="s">
        <v>541</v>
      </c>
      <c r="D97" s="390"/>
      <c r="I97" s="425">
        <f>ELITE!L8</f>
        <v>0</v>
      </c>
      <c r="J97" s="425">
        <v>4</v>
      </c>
      <c r="K97" s="425">
        <f t="shared" si="11"/>
        <v>0</v>
      </c>
      <c r="L97" s="467">
        <f>L92</f>
        <v>1.0476190476190477</v>
      </c>
      <c r="M97" s="467">
        <f t="shared" si="12"/>
        <v>0.546</v>
      </c>
      <c r="N97" s="468">
        <f t="shared" si="13"/>
        <v>0</v>
      </c>
      <c r="O97" s="470">
        <f t="shared" si="14"/>
        <v>0</v>
      </c>
      <c r="P97" s="482">
        <v>4</v>
      </c>
      <c r="Q97" s="484">
        <f t="shared" si="15"/>
        <v>0</v>
      </c>
      <c r="S97" s="130"/>
      <c r="T97" s="130"/>
    </row>
    <row r="98" spans="1:20" ht="15.75">
      <c r="A98" s="393"/>
      <c r="B98" s="424"/>
      <c r="C98" s="111" t="s">
        <v>542</v>
      </c>
      <c r="D98" s="390"/>
      <c r="I98" s="425">
        <f>ELITE!L6</f>
        <v>0</v>
      </c>
      <c r="J98" s="425">
        <v>3</v>
      </c>
      <c r="K98" s="425">
        <f t="shared" si="11"/>
        <v>0</v>
      </c>
      <c r="L98" s="467">
        <f>L93</f>
        <v>3.4285714285714284</v>
      </c>
      <c r="M98" s="467">
        <f t="shared" si="12"/>
        <v>0.546</v>
      </c>
      <c r="N98" s="468">
        <f t="shared" si="13"/>
        <v>0</v>
      </c>
      <c r="O98" s="470">
        <f t="shared" si="14"/>
        <v>0</v>
      </c>
      <c r="P98" s="482">
        <v>1</v>
      </c>
      <c r="Q98" s="484">
        <f t="shared" si="15"/>
        <v>0</v>
      </c>
      <c r="S98" s="130"/>
      <c r="T98" s="130"/>
    </row>
    <row r="99" spans="1:20" ht="15.75">
      <c r="A99" s="393"/>
      <c r="B99" s="424"/>
      <c r="C99" s="111" t="s">
        <v>291</v>
      </c>
      <c r="D99" s="390"/>
      <c r="I99" s="425">
        <f>ELITE!L7</f>
        <v>0</v>
      </c>
      <c r="J99" s="425">
        <v>3</v>
      </c>
      <c r="K99" s="425">
        <f t="shared" si="11"/>
        <v>0</v>
      </c>
      <c r="L99" s="467">
        <f>L94</f>
        <v>3.4285714285714284</v>
      </c>
      <c r="M99" s="467">
        <f t="shared" si="12"/>
        <v>0.546</v>
      </c>
      <c r="N99" s="468">
        <f t="shared" si="13"/>
        <v>0</v>
      </c>
      <c r="O99" s="470">
        <f t="shared" si="14"/>
        <v>0</v>
      </c>
      <c r="P99" s="482">
        <v>1</v>
      </c>
      <c r="Q99" s="484">
        <f t="shared" si="15"/>
        <v>0</v>
      </c>
      <c r="S99" s="130"/>
      <c r="T99" s="130"/>
    </row>
    <row r="100" spans="1:20" ht="15.75">
      <c r="A100" s="393"/>
      <c r="B100" s="424"/>
      <c r="C100" s="111" t="s">
        <v>169</v>
      </c>
      <c r="D100" s="390"/>
      <c r="I100" s="425">
        <f>ELITE!L9</f>
        <v>0</v>
      </c>
      <c r="J100" s="425">
        <v>3</v>
      </c>
      <c r="K100" s="425">
        <f t="shared" si="11"/>
        <v>0</v>
      </c>
      <c r="L100" s="467">
        <f>L95</f>
        <v>3.4285714285714284</v>
      </c>
      <c r="M100" s="467">
        <f t="shared" si="12"/>
        <v>0.546</v>
      </c>
      <c r="N100" s="468">
        <f t="shared" si="13"/>
        <v>0</v>
      </c>
      <c r="O100" s="470">
        <f t="shared" si="14"/>
        <v>0</v>
      </c>
      <c r="P100" s="482">
        <v>1</v>
      </c>
      <c r="Q100" s="484">
        <f t="shared" si="15"/>
        <v>0</v>
      </c>
      <c r="S100" s="130"/>
      <c r="T100" s="130"/>
    </row>
    <row r="101" spans="1:20" ht="15.75">
      <c r="A101" s="393">
        <v>2</v>
      </c>
      <c r="B101" s="424" t="s">
        <v>307</v>
      </c>
      <c r="C101" s="111"/>
      <c r="D101" s="390"/>
      <c r="I101" s="425"/>
      <c r="J101" s="425"/>
      <c r="K101" s="425"/>
      <c r="L101" s="467"/>
      <c r="M101" s="467"/>
      <c r="N101" s="468"/>
      <c r="O101" s="470"/>
      <c r="P101" s="482"/>
      <c r="Q101" s="484"/>
      <c r="S101" s="130"/>
      <c r="T101" s="130"/>
    </row>
    <row r="102" spans="1:20" ht="15.75">
      <c r="A102" s="393"/>
      <c r="B102" s="424"/>
      <c r="C102" s="432" t="s">
        <v>300</v>
      </c>
      <c r="D102" s="390"/>
      <c r="I102" s="425">
        <f>ELITE!K34</f>
        <v>0</v>
      </c>
      <c r="J102" s="425">
        <v>1</v>
      </c>
      <c r="K102" s="425">
        <f aca="true" t="shared" si="16" ref="K102:K107">I102*J102</f>
        <v>0</v>
      </c>
      <c r="L102" s="467">
        <f>$L$35</f>
        <v>0.5714285714285715</v>
      </c>
      <c r="M102" s="467">
        <f aca="true" t="shared" si="17" ref="M102:M107">$C$15</f>
        <v>0.546</v>
      </c>
      <c r="N102" s="468">
        <f aca="true" t="shared" si="18" ref="N102:N107">K102*L102*M102</f>
        <v>0</v>
      </c>
      <c r="O102" s="470"/>
      <c r="P102" s="482">
        <v>4</v>
      </c>
      <c r="Q102" s="484">
        <f aca="true" t="shared" si="19" ref="Q102:Q107">K102*P102</f>
        <v>0</v>
      </c>
      <c r="S102" s="130"/>
      <c r="T102" s="130"/>
    </row>
    <row r="103" spans="1:20" ht="15.75">
      <c r="A103" s="393"/>
      <c r="B103" s="424"/>
      <c r="C103" s="111" t="s">
        <v>546</v>
      </c>
      <c r="I103" s="425">
        <f>ELITE!K35</f>
        <v>0</v>
      </c>
      <c r="J103" s="425">
        <v>2</v>
      </c>
      <c r="K103" s="425">
        <f t="shared" si="16"/>
        <v>0</v>
      </c>
      <c r="L103" s="467">
        <f>$L$35</f>
        <v>0.5714285714285715</v>
      </c>
      <c r="M103" s="467">
        <f t="shared" si="17"/>
        <v>0.546</v>
      </c>
      <c r="N103" s="468">
        <f t="shared" si="18"/>
        <v>0</v>
      </c>
      <c r="O103" s="470"/>
      <c r="P103" s="482">
        <v>4</v>
      </c>
      <c r="Q103" s="484">
        <f t="shared" si="19"/>
        <v>0</v>
      </c>
      <c r="S103" s="130"/>
      <c r="T103" s="130"/>
    </row>
    <row r="104" spans="1:20" ht="15.75">
      <c r="A104" s="393"/>
      <c r="B104" s="424"/>
      <c r="C104" s="111" t="s">
        <v>547</v>
      </c>
      <c r="I104" s="425">
        <f>ELITE!K36+ELITE!K37</f>
        <v>0</v>
      </c>
      <c r="J104" s="425">
        <v>2</v>
      </c>
      <c r="K104" s="425">
        <f t="shared" si="16"/>
        <v>0</v>
      </c>
      <c r="L104" s="467">
        <f>$L$35</f>
        <v>0.5714285714285715</v>
      </c>
      <c r="M104" s="467">
        <f t="shared" si="17"/>
        <v>0.546</v>
      </c>
      <c r="N104" s="468">
        <f t="shared" si="18"/>
        <v>0</v>
      </c>
      <c r="O104" s="470"/>
      <c r="P104" s="482">
        <v>4</v>
      </c>
      <c r="Q104" s="484">
        <f t="shared" si="19"/>
        <v>0</v>
      </c>
      <c r="S104" s="130"/>
      <c r="T104" s="130"/>
    </row>
    <row r="105" spans="1:20" ht="15.75">
      <c r="A105" s="393"/>
      <c r="B105" s="424"/>
      <c r="C105" s="432" t="s">
        <v>548</v>
      </c>
      <c r="D105" s="390"/>
      <c r="I105" s="425">
        <f>ELITE!K38+ELITE!K39</f>
        <v>0</v>
      </c>
      <c r="J105" s="425">
        <v>3</v>
      </c>
      <c r="K105" s="425">
        <f t="shared" si="16"/>
        <v>0</v>
      </c>
      <c r="L105" s="467">
        <f>$L$35</f>
        <v>0.5714285714285715</v>
      </c>
      <c r="M105" s="467">
        <f t="shared" si="17"/>
        <v>0.546</v>
      </c>
      <c r="N105" s="468">
        <f t="shared" si="18"/>
        <v>0</v>
      </c>
      <c r="O105" s="470"/>
      <c r="P105" s="482">
        <v>4</v>
      </c>
      <c r="Q105" s="484">
        <f t="shared" si="19"/>
        <v>0</v>
      </c>
      <c r="S105" s="130"/>
      <c r="T105" s="130"/>
    </row>
    <row r="106" spans="1:20" ht="15.75">
      <c r="A106" s="393"/>
      <c r="B106" s="424"/>
      <c r="C106" s="432" t="s">
        <v>549</v>
      </c>
      <c r="D106" s="390"/>
      <c r="I106" s="425">
        <f>ELITE!K40+ELITE!K41</f>
        <v>0</v>
      </c>
      <c r="J106" s="425">
        <v>3</v>
      </c>
      <c r="K106" s="425">
        <f t="shared" si="16"/>
        <v>0</v>
      </c>
      <c r="L106" s="467">
        <f>$L$35</f>
        <v>0.5714285714285715</v>
      </c>
      <c r="M106" s="467">
        <f t="shared" si="17"/>
        <v>0.546</v>
      </c>
      <c r="N106" s="468">
        <f t="shared" si="18"/>
        <v>0</v>
      </c>
      <c r="O106" s="470">
        <f>N106</f>
        <v>0</v>
      </c>
      <c r="P106" s="482">
        <v>4</v>
      </c>
      <c r="Q106" s="484">
        <f t="shared" si="19"/>
        <v>0</v>
      </c>
      <c r="S106" s="130"/>
      <c r="T106" s="130"/>
    </row>
    <row r="107" spans="1:20" ht="15.75">
      <c r="A107" s="393"/>
      <c r="B107" s="424"/>
      <c r="C107" s="432" t="s">
        <v>550</v>
      </c>
      <c r="D107" s="390"/>
      <c r="I107" s="425">
        <f>ELITE!K42+ELITE!K43</f>
        <v>0</v>
      </c>
      <c r="J107" s="425">
        <v>2</v>
      </c>
      <c r="K107" s="425">
        <f t="shared" si="16"/>
        <v>0</v>
      </c>
      <c r="L107" s="467">
        <f>L41</f>
        <v>3.4285714285714284</v>
      </c>
      <c r="M107" s="467">
        <f t="shared" si="17"/>
        <v>0.546</v>
      </c>
      <c r="N107" s="468">
        <f t="shared" si="18"/>
        <v>0</v>
      </c>
      <c r="O107" s="470">
        <f>N107</f>
        <v>0</v>
      </c>
      <c r="P107" s="482">
        <v>1</v>
      </c>
      <c r="Q107" s="484">
        <f t="shared" si="19"/>
        <v>0</v>
      </c>
      <c r="S107" s="130"/>
      <c r="T107" s="130"/>
    </row>
    <row r="108" spans="1:20" ht="15.75">
      <c r="A108" s="393">
        <v>3</v>
      </c>
      <c r="B108" s="424" t="s">
        <v>301</v>
      </c>
      <c r="C108" s="432"/>
      <c r="D108" s="390"/>
      <c r="I108" s="425"/>
      <c r="J108" s="425"/>
      <c r="K108" s="425"/>
      <c r="L108" s="467"/>
      <c r="M108" s="467"/>
      <c r="N108" s="468"/>
      <c r="O108" s="470"/>
      <c r="P108" s="482"/>
      <c r="Q108" s="484"/>
      <c r="S108" s="130"/>
      <c r="T108" s="130"/>
    </row>
    <row r="109" spans="1:20" ht="15.75">
      <c r="A109" s="393"/>
      <c r="B109" s="424"/>
      <c r="C109" s="432" t="s">
        <v>266</v>
      </c>
      <c r="D109" s="390"/>
      <c r="I109" s="425">
        <f>ELITE!K23+ELITE!K25</f>
        <v>0</v>
      </c>
      <c r="J109" s="425">
        <v>2</v>
      </c>
      <c r="K109" s="425">
        <f aca="true" t="shared" si="20" ref="K109:K114">I109*J109</f>
        <v>0</v>
      </c>
      <c r="L109" s="467">
        <f>$L$35</f>
        <v>0.5714285714285715</v>
      </c>
      <c r="M109" s="467">
        <f aca="true" t="shared" si="21" ref="M109:M114">$C$15</f>
        <v>0.546</v>
      </c>
      <c r="N109" s="468">
        <f aca="true" t="shared" si="22" ref="N109:N114">K109*L109*M109</f>
        <v>0</v>
      </c>
      <c r="O109" s="470">
        <f>N109</f>
        <v>0</v>
      </c>
      <c r="P109" s="482">
        <v>4</v>
      </c>
      <c r="Q109" s="484">
        <f aca="true" t="shared" si="23" ref="Q109:Q114">K109*P109</f>
        <v>0</v>
      </c>
      <c r="S109" s="130"/>
      <c r="T109" s="130"/>
    </row>
    <row r="110" spans="1:20" ht="15.75">
      <c r="A110" s="393"/>
      <c r="B110" s="424"/>
      <c r="C110" s="432" t="s">
        <v>555</v>
      </c>
      <c r="D110" s="390"/>
      <c r="I110" s="425">
        <f>ELITE!K24+ELITE!K26</f>
        <v>0</v>
      </c>
      <c r="J110" s="425">
        <v>3</v>
      </c>
      <c r="K110" s="425">
        <f t="shared" si="20"/>
        <v>0</v>
      </c>
      <c r="L110" s="467">
        <f>$L$35</f>
        <v>0.5714285714285715</v>
      </c>
      <c r="M110" s="467">
        <f t="shared" si="21"/>
        <v>0.546</v>
      </c>
      <c r="N110" s="468">
        <f t="shared" si="22"/>
        <v>0</v>
      </c>
      <c r="O110" s="470">
        <f>N110</f>
        <v>0</v>
      </c>
      <c r="P110" s="482">
        <v>4</v>
      </c>
      <c r="Q110" s="484">
        <f t="shared" si="23"/>
        <v>0</v>
      </c>
      <c r="S110" s="130"/>
      <c r="T110" s="130"/>
    </row>
    <row r="111" spans="1:20" ht="15.75">
      <c r="A111" s="393"/>
      <c r="B111" s="424"/>
      <c r="C111" s="432" t="s">
        <v>552</v>
      </c>
      <c r="D111" s="390"/>
      <c r="I111" s="425">
        <f>ELITE!K23+ELITE!K24</f>
        <v>0</v>
      </c>
      <c r="J111" s="425">
        <v>1</v>
      </c>
      <c r="K111" s="425">
        <f t="shared" si="20"/>
        <v>0</v>
      </c>
      <c r="L111" s="467">
        <f>$L$41</f>
        <v>3.4285714285714284</v>
      </c>
      <c r="M111" s="467">
        <f t="shared" si="21"/>
        <v>0.546</v>
      </c>
      <c r="N111" s="468">
        <f t="shared" si="22"/>
        <v>0</v>
      </c>
      <c r="O111" s="470">
        <f>N111</f>
        <v>0</v>
      </c>
      <c r="P111" s="482">
        <v>1</v>
      </c>
      <c r="Q111" s="484">
        <f t="shared" si="23"/>
        <v>0</v>
      </c>
      <c r="S111" s="130"/>
      <c r="T111" s="130"/>
    </row>
    <row r="112" spans="1:20" ht="15.75">
      <c r="A112" s="393"/>
      <c r="B112" s="424"/>
      <c r="C112" s="432" t="s">
        <v>558</v>
      </c>
      <c r="D112" s="390"/>
      <c r="I112" s="425">
        <f>ELITE!K25+ELITE!K26</f>
        <v>0</v>
      </c>
      <c r="J112" s="425">
        <v>2</v>
      </c>
      <c r="K112" s="425">
        <f t="shared" si="20"/>
        <v>0</v>
      </c>
      <c r="L112" s="467">
        <f>$L$41</f>
        <v>3.4285714285714284</v>
      </c>
      <c r="M112" s="467">
        <f t="shared" si="21"/>
        <v>0.546</v>
      </c>
      <c r="N112" s="468">
        <f t="shared" si="22"/>
        <v>0</v>
      </c>
      <c r="O112" s="470">
        <f>N112</f>
        <v>0</v>
      </c>
      <c r="P112" s="482">
        <v>1</v>
      </c>
      <c r="Q112" s="484">
        <f t="shared" si="23"/>
        <v>0</v>
      </c>
      <c r="S112" s="130"/>
      <c r="T112" s="130"/>
    </row>
    <row r="113" spans="1:20" ht="15.75">
      <c r="A113" s="393"/>
      <c r="B113" s="424"/>
      <c r="C113" s="432" t="s">
        <v>553</v>
      </c>
      <c r="D113" s="390"/>
      <c r="I113" s="425">
        <f>ELITE!H29+ELITE!H30+ELITE!H31+ELITE!K27</f>
        <v>0</v>
      </c>
      <c r="J113" s="425">
        <v>1</v>
      </c>
      <c r="K113" s="425">
        <f t="shared" si="20"/>
        <v>0</v>
      </c>
      <c r="L113" s="467">
        <f>I17</f>
        <v>0.28571428571428575</v>
      </c>
      <c r="M113" s="467">
        <f t="shared" si="21"/>
        <v>0.546</v>
      </c>
      <c r="N113" s="468">
        <f t="shared" si="22"/>
        <v>0</v>
      </c>
      <c r="O113" s="470"/>
      <c r="P113" s="482">
        <v>3</v>
      </c>
      <c r="Q113" s="484">
        <f t="shared" si="23"/>
        <v>0</v>
      </c>
      <c r="S113" s="130"/>
      <c r="T113" s="130"/>
    </row>
    <row r="114" spans="1:20" ht="15.75">
      <c r="A114" s="393"/>
      <c r="B114" s="424"/>
      <c r="C114" s="432" t="s">
        <v>554</v>
      </c>
      <c r="D114" s="390"/>
      <c r="I114" s="425">
        <f>ELITE!K27</f>
        <v>0</v>
      </c>
      <c r="J114" s="425">
        <v>1</v>
      </c>
      <c r="K114" s="425">
        <f t="shared" si="20"/>
        <v>0</v>
      </c>
      <c r="L114" s="467">
        <f>$L$41</f>
        <v>3.4285714285714284</v>
      </c>
      <c r="M114" s="467">
        <f t="shared" si="21"/>
        <v>0.546</v>
      </c>
      <c r="N114" s="468">
        <f t="shared" si="22"/>
        <v>0</v>
      </c>
      <c r="O114" s="470">
        <f>N114</f>
        <v>0</v>
      </c>
      <c r="P114" s="482">
        <v>1</v>
      </c>
      <c r="Q114" s="484">
        <f t="shared" si="23"/>
        <v>0</v>
      </c>
      <c r="S114" s="130"/>
      <c r="T114" s="130"/>
    </row>
    <row r="115" spans="1:20" ht="15.75">
      <c r="A115" s="393">
        <v>3</v>
      </c>
      <c r="B115" s="424" t="s">
        <v>308</v>
      </c>
      <c r="C115" s="432"/>
      <c r="D115" s="390"/>
      <c r="I115" s="425"/>
      <c r="J115" s="425"/>
      <c r="K115" s="425"/>
      <c r="L115" s="467"/>
      <c r="M115" s="467"/>
      <c r="N115" s="468"/>
      <c r="O115" s="470"/>
      <c r="P115" s="482"/>
      <c r="Q115" s="484"/>
      <c r="S115" s="130"/>
      <c r="T115" s="130"/>
    </row>
    <row r="116" spans="1:20" ht="15.75">
      <c r="A116" s="393"/>
      <c r="B116" s="424"/>
      <c r="C116" s="432" t="s">
        <v>300</v>
      </c>
      <c r="D116" s="390"/>
      <c r="I116" s="425">
        <f>ELITE!K46+ELITE!K47</f>
        <v>0</v>
      </c>
      <c r="J116" s="425">
        <v>2</v>
      </c>
      <c r="K116" s="425">
        <f aca="true" t="shared" si="24" ref="K116:K123">I116*J116</f>
        <v>0</v>
      </c>
      <c r="L116" s="467">
        <f>$L$35</f>
        <v>0.5714285714285715</v>
      </c>
      <c r="M116" s="467">
        <f aca="true" t="shared" si="25" ref="M116:M123">$C$15</f>
        <v>0.546</v>
      </c>
      <c r="N116" s="468">
        <f aca="true" t="shared" si="26" ref="N116:N123">K116*L116*M116</f>
        <v>0</v>
      </c>
      <c r="O116" s="470"/>
      <c r="P116" s="482">
        <v>4</v>
      </c>
      <c r="Q116" s="484">
        <f aca="true" t="shared" si="27" ref="Q116:Q123">K116*P116</f>
        <v>0</v>
      </c>
      <c r="S116" s="130"/>
      <c r="T116" s="130"/>
    </row>
    <row r="117" spans="1:20" ht="15.75">
      <c r="A117" s="393"/>
      <c r="B117" s="424"/>
      <c r="C117" s="432" t="s">
        <v>528</v>
      </c>
      <c r="D117" s="390"/>
      <c r="I117" s="425">
        <f>ELITE!K48+ELITE!K49</f>
        <v>0</v>
      </c>
      <c r="J117" s="425">
        <v>3</v>
      </c>
      <c r="K117" s="425">
        <f t="shared" si="24"/>
        <v>0</v>
      </c>
      <c r="L117" s="467">
        <f>$L$35</f>
        <v>0.5714285714285715</v>
      </c>
      <c r="M117" s="467">
        <f t="shared" si="25"/>
        <v>0.546</v>
      </c>
      <c r="N117" s="468">
        <f t="shared" si="26"/>
        <v>0</v>
      </c>
      <c r="O117" s="470"/>
      <c r="P117" s="482">
        <v>4</v>
      </c>
      <c r="Q117" s="484">
        <f t="shared" si="27"/>
        <v>0</v>
      </c>
      <c r="S117" s="130"/>
      <c r="T117" s="130"/>
    </row>
    <row r="118" spans="1:20" ht="15.75">
      <c r="A118" s="393"/>
      <c r="B118" s="424"/>
      <c r="C118" s="432" t="s">
        <v>529</v>
      </c>
      <c r="D118" s="390"/>
      <c r="I118" s="425">
        <f>ELITE!K50+ELITE!K51</f>
        <v>0</v>
      </c>
      <c r="J118" s="425">
        <v>2</v>
      </c>
      <c r="K118" s="425">
        <f t="shared" si="24"/>
        <v>0</v>
      </c>
      <c r="L118" s="467">
        <f>$L$35</f>
        <v>0.5714285714285715</v>
      </c>
      <c r="M118" s="467">
        <f t="shared" si="25"/>
        <v>0.546</v>
      </c>
      <c r="N118" s="468">
        <f t="shared" si="26"/>
        <v>0</v>
      </c>
      <c r="O118" s="470">
        <f aca="true" t="shared" si="28" ref="O118:O123">N118</f>
        <v>0</v>
      </c>
      <c r="P118" s="482">
        <v>4</v>
      </c>
      <c r="Q118" s="484">
        <f t="shared" si="27"/>
        <v>0</v>
      </c>
      <c r="S118" s="130"/>
      <c r="T118" s="130"/>
    </row>
    <row r="119" spans="1:20" ht="15.75">
      <c r="A119" s="393"/>
      <c r="B119" s="424"/>
      <c r="C119" s="432" t="s">
        <v>492</v>
      </c>
      <c r="D119" s="390"/>
      <c r="I119" s="425">
        <f>ELITE!K52+ELITE!K53</f>
        <v>0</v>
      </c>
      <c r="J119" s="425">
        <v>3</v>
      </c>
      <c r="K119" s="425">
        <f t="shared" si="24"/>
        <v>0</v>
      </c>
      <c r="L119" s="467">
        <f>$L$35</f>
        <v>0.5714285714285715</v>
      </c>
      <c r="M119" s="467">
        <f t="shared" si="25"/>
        <v>0.546</v>
      </c>
      <c r="N119" s="468">
        <f t="shared" si="26"/>
        <v>0</v>
      </c>
      <c r="O119" s="470">
        <f t="shared" si="28"/>
        <v>0</v>
      </c>
      <c r="P119" s="482">
        <v>4</v>
      </c>
      <c r="Q119" s="484">
        <f t="shared" si="27"/>
        <v>0</v>
      </c>
      <c r="S119" s="130"/>
      <c r="T119" s="130"/>
    </row>
    <row r="120" spans="1:20" ht="15.75">
      <c r="A120" s="393"/>
      <c r="B120" s="424"/>
      <c r="C120" s="432" t="s">
        <v>504</v>
      </c>
      <c r="D120" s="390"/>
      <c r="I120" s="425">
        <f>ELITE!K54+ELITE!K55</f>
        <v>0</v>
      </c>
      <c r="J120" s="425">
        <v>2</v>
      </c>
      <c r="K120" s="425">
        <f t="shared" si="24"/>
        <v>0</v>
      </c>
      <c r="L120" s="467">
        <f>L41</f>
        <v>3.4285714285714284</v>
      </c>
      <c r="M120" s="467">
        <f t="shared" si="25"/>
        <v>0.546</v>
      </c>
      <c r="N120" s="468">
        <f t="shared" si="26"/>
        <v>0</v>
      </c>
      <c r="O120" s="470">
        <f t="shared" si="28"/>
        <v>0</v>
      </c>
      <c r="P120" s="482">
        <v>1</v>
      </c>
      <c r="Q120" s="484">
        <f t="shared" si="27"/>
        <v>0</v>
      </c>
      <c r="S120" s="130"/>
      <c r="T120" s="130"/>
    </row>
    <row r="121" spans="1:20" ht="15.75">
      <c r="A121" s="393"/>
      <c r="B121" s="424"/>
      <c r="C121" s="432" t="s">
        <v>268</v>
      </c>
      <c r="D121" s="390"/>
      <c r="I121" s="425">
        <f>ELITE!K56+ELITE!K57</f>
        <v>0</v>
      </c>
      <c r="J121" s="425">
        <v>2</v>
      </c>
      <c r="K121" s="425">
        <f t="shared" si="24"/>
        <v>0</v>
      </c>
      <c r="L121" s="467">
        <f>L40</f>
        <v>1.0476190476190477</v>
      </c>
      <c r="M121" s="467">
        <f t="shared" si="25"/>
        <v>0.546</v>
      </c>
      <c r="N121" s="468">
        <f t="shared" si="26"/>
        <v>0</v>
      </c>
      <c r="O121" s="470">
        <f t="shared" si="28"/>
        <v>0</v>
      </c>
      <c r="P121" s="482">
        <v>4</v>
      </c>
      <c r="Q121" s="484">
        <f t="shared" si="27"/>
        <v>0</v>
      </c>
      <c r="S121" s="130"/>
      <c r="T121" s="130"/>
    </row>
    <row r="122" spans="1:20" ht="15.75">
      <c r="A122" s="393"/>
      <c r="B122" s="424"/>
      <c r="C122" s="432" t="s">
        <v>541</v>
      </c>
      <c r="D122" s="390"/>
      <c r="I122" s="425">
        <f>ELITE!K58+ELITE!K59</f>
        <v>0</v>
      </c>
      <c r="J122" s="425">
        <v>3</v>
      </c>
      <c r="K122" s="425">
        <f t="shared" si="24"/>
        <v>0</v>
      </c>
      <c r="L122" s="467">
        <f>L121</f>
        <v>1.0476190476190477</v>
      </c>
      <c r="M122" s="467">
        <f t="shared" si="25"/>
        <v>0.546</v>
      </c>
      <c r="N122" s="468">
        <f t="shared" si="26"/>
        <v>0</v>
      </c>
      <c r="O122" s="470">
        <f t="shared" si="28"/>
        <v>0</v>
      </c>
      <c r="P122" s="482">
        <v>4</v>
      </c>
      <c r="Q122" s="484">
        <f t="shared" si="27"/>
        <v>0</v>
      </c>
      <c r="S122" s="130"/>
      <c r="T122" s="130"/>
    </row>
    <row r="123" spans="1:20" ht="15.75">
      <c r="A123" s="393"/>
      <c r="B123" s="424"/>
      <c r="C123" s="432" t="s">
        <v>169</v>
      </c>
      <c r="D123" s="390"/>
      <c r="I123" s="425">
        <f>ELITE!K60+ELITE!K61</f>
        <v>0</v>
      </c>
      <c r="J123" s="425">
        <v>2</v>
      </c>
      <c r="K123" s="425">
        <f t="shared" si="24"/>
        <v>0</v>
      </c>
      <c r="L123" s="467">
        <f>L120</f>
        <v>3.4285714285714284</v>
      </c>
      <c r="M123" s="467">
        <f t="shared" si="25"/>
        <v>0.546</v>
      </c>
      <c r="N123" s="468">
        <f t="shared" si="26"/>
        <v>0</v>
      </c>
      <c r="O123" s="470">
        <f t="shared" si="28"/>
        <v>0</v>
      </c>
      <c r="P123" s="482">
        <v>1</v>
      </c>
      <c r="Q123" s="484">
        <f t="shared" si="27"/>
        <v>0</v>
      </c>
      <c r="S123" s="130"/>
      <c r="T123" s="130"/>
    </row>
    <row r="124" spans="1:20" ht="15.75">
      <c r="A124" s="393"/>
      <c r="B124" s="424"/>
      <c r="C124" s="432"/>
      <c r="D124" s="390"/>
      <c r="I124" s="425"/>
      <c r="J124" s="425"/>
      <c r="K124" s="425"/>
      <c r="L124" s="467"/>
      <c r="M124" s="467"/>
      <c r="N124" s="468"/>
      <c r="O124" s="470"/>
      <c r="P124" s="482"/>
      <c r="Q124" s="484"/>
      <c r="S124" s="130"/>
      <c r="T124" s="130"/>
    </row>
    <row r="125" spans="1:20" ht="15.75">
      <c r="A125" s="393"/>
      <c r="B125" s="424"/>
      <c r="C125" s="432"/>
      <c r="D125" s="390"/>
      <c r="I125" s="425"/>
      <c r="J125" s="425"/>
      <c r="K125" s="425"/>
      <c r="L125" s="467"/>
      <c r="M125" s="467"/>
      <c r="N125" s="468"/>
      <c r="O125" s="470"/>
      <c r="P125" s="482"/>
      <c r="Q125" s="484"/>
      <c r="S125" s="130"/>
      <c r="T125" s="130"/>
    </row>
    <row r="126" spans="1:20" ht="13.5" thickBot="1">
      <c r="A126" s="393">
        <v>3</v>
      </c>
      <c r="B126" s="390"/>
      <c r="C126" s="390"/>
      <c r="D126" s="390"/>
      <c r="I126" s="425"/>
      <c r="J126" s="425"/>
      <c r="K126" s="425">
        <f>I126*J126</f>
        <v>0</v>
      </c>
      <c r="L126" s="467"/>
      <c r="M126" s="467"/>
      <c r="N126" s="468"/>
      <c r="O126" s="469"/>
      <c r="P126" s="482"/>
      <c r="Q126" s="483"/>
      <c r="S126" s="16"/>
      <c r="T126" s="16"/>
    </row>
    <row r="127" spans="1:23" ht="13.5" thickBot="1">
      <c r="A127" s="395"/>
      <c r="B127" s="388" t="s">
        <v>15</v>
      </c>
      <c r="C127" s="388"/>
      <c r="D127" s="398"/>
      <c r="E127" s="398"/>
      <c r="F127" s="398"/>
      <c r="G127" s="398"/>
      <c r="H127" s="428"/>
      <c r="I127" s="381">
        <f>SUM(I128:I143)</f>
        <v>0</v>
      </c>
      <c r="J127" s="381"/>
      <c r="K127" s="381">
        <f>SUM(K128:K143)</f>
        <v>0</v>
      </c>
      <c r="L127" s="436">
        <f>SUM(L128:L143)</f>
        <v>15.428571428571427</v>
      </c>
      <c r="M127" s="436">
        <f>SUM(M128:M143)</f>
        <v>6.552000000000002</v>
      </c>
      <c r="N127" s="471">
        <f>SUM(N128:N143)</f>
        <v>0</v>
      </c>
      <c r="O127" s="471">
        <f>SUM(O128:O143)</f>
        <v>0</v>
      </c>
      <c r="P127" s="502"/>
      <c r="Q127" s="503">
        <f>SUM(Q128:Q143)</f>
        <v>0</v>
      </c>
      <c r="R127" s="496"/>
      <c r="S127" s="17"/>
      <c r="T127" s="17"/>
      <c r="U127" s="47"/>
      <c r="V127" s="47"/>
      <c r="W127" s="47"/>
    </row>
    <row r="128" spans="1:25" ht="15.75">
      <c r="A128" s="393">
        <v>1</v>
      </c>
      <c r="B128" s="424" t="s">
        <v>443</v>
      </c>
      <c r="C128" s="390"/>
      <c r="D128" s="432"/>
      <c r="I128" s="425"/>
      <c r="J128" s="425"/>
      <c r="K128" s="425"/>
      <c r="L128" s="467"/>
      <c r="M128" s="467"/>
      <c r="N128" s="468"/>
      <c r="O128" s="469"/>
      <c r="P128" s="482"/>
      <c r="Q128" s="483"/>
      <c r="R128" s="496"/>
      <c r="S128" s="17"/>
      <c r="T128" s="17"/>
      <c r="U128" s="17"/>
      <c r="V128" s="17"/>
      <c r="W128" s="17"/>
      <c r="X128" s="16"/>
      <c r="Y128" s="16"/>
    </row>
    <row r="129" spans="1:25" ht="12.75">
      <c r="A129" s="393"/>
      <c r="B129" s="432"/>
      <c r="C129" s="390" t="s">
        <v>566</v>
      </c>
      <c r="D129" s="432"/>
      <c r="I129" s="425">
        <f>'A.RAPIDO'!K5</f>
        <v>0</v>
      </c>
      <c r="J129" s="425">
        <v>2</v>
      </c>
      <c r="K129" s="425">
        <f>J129*(I129)</f>
        <v>0</v>
      </c>
      <c r="L129" s="467">
        <f>$L$79</f>
        <v>0.5714285714285715</v>
      </c>
      <c r="M129" s="467">
        <f>$C$15</f>
        <v>0.546</v>
      </c>
      <c r="N129" s="468">
        <f>K129*L129*M129</f>
        <v>0</v>
      </c>
      <c r="O129" s="469"/>
      <c r="P129" s="482">
        <v>4</v>
      </c>
      <c r="Q129" s="483">
        <f>K129*P129</f>
        <v>0</v>
      </c>
      <c r="R129" s="487"/>
      <c r="S129" s="48"/>
      <c r="T129" s="48"/>
      <c r="U129" s="48"/>
      <c r="V129" s="48"/>
      <c r="W129" s="48"/>
      <c r="X129" s="16"/>
      <c r="Y129" s="16"/>
    </row>
    <row r="130" spans="1:25" ht="12.75">
      <c r="A130" s="393"/>
      <c r="B130" s="432"/>
      <c r="C130" s="390" t="s">
        <v>563</v>
      </c>
      <c r="D130" s="432"/>
      <c r="I130" s="425">
        <f>'A.RAPIDO'!K6+'A.RAPIDO'!K7</f>
        <v>0</v>
      </c>
      <c r="J130" s="425">
        <v>3</v>
      </c>
      <c r="K130" s="425">
        <f>J130*(I130)</f>
        <v>0</v>
      </c>
      <c r="L130" s="467">
        <f>$L$79</f>
        <v>0.5714285714285715</v>
      </c>
      <c r="M130" s="467">
        <f>$C$15</f>
        <v>0.546</v>
      </c>
      <c r="N130" s="468">
        <f>K130*L130*M130</f>
        <v>0</v>
      </c>
      <c r="O130" s="469"/>
      <c r="P130" s="482">
        <v>4</v>
      </c>
      <c r="Q130" s="483">
        <f>K130*P130</f>
        <v>0</v>
      </c>
      <c r="R130" s="487"/>
      <c r="S130" s="48"/>
      <c r="T130" s="48"/>
      <c r="U130" s="48"/>
      <c r="V130" s="48"/>
      <c r="W130" s="48"/>
      <c r="X130" s="16"/>
      <c r="Y130" s="16"/>
    </row>
    <row r="131" spans="1:25" ht="12.75">
      <c r="A131" s="393"/>
      <c r="B131" s="432"/>
      <c r="C131" s="432" t="s">
        <v>492</v>
      </c>
      <c r="D131" s="432"/>
      <c r="I131" s="425">
        <f>'A.RAPIDO'!K8+'A.RAPIDO'!K9</f>
        <v>0</v>
      </c>
      <c r="J131" s="425">
        <v>3</v>
      </c>
      <c r="K131" s="425">
        <f>J131*(I131)</f>
        <v>0</v>
      </c>
      <c r="L131" s="467">
        <f>$L$79</f>
        <v>0.5714285714285715</v>
      </c>
      <c r="M131" s="467">
        <f>$C$15</f>
        <v>0.546</v>
      </c>
      <c r="N131" s="468">
        <f>K131*L131*M131</f>
        <v>0</v>
      </c>
      <c r="O131" s="470">
        <f>N131</f>
        <v>0</v>
      </c>
      <c r="P131" s="482">
        <v>4</v>
      </c>
      <c r="Q131" s="483">
        <f>K131*P131</f>
        <v>0</v>
      </c>
      <c r="R131" s="487"/>
      <c r="S131" s="48"/>
      <c r="T131" s="48"/>
      <c r="U131" s="48"/>
      <c r="V131" s="48"/>
      <c r="W131" s="48"/>
      <c r="X131" s="16"/>
      <c r="Y131" s="16"/>
    </row>
    <row r="132" spans="1:25" ht="12.75">
      <c r="A132" s="393"/>
      <c r="B132" s="432"/>
      <c r="C132" s="432" t="s">
        <v>504</v>
      </c>
      <c r="D132" s="432"/>
      <c r="I132" s="425">
        <f>'A.RAPIDO'!K10+'A.RAPIDO'!K11</f>
        <v>0</v>
      </c>
      <c r="J132" s="425">
        <v>2</v>
      </c>
      <c r="K132" s="425">
        <f>J132*(I132)</f>
        <v>0</v>
      </c>
      <c r="L132" s="467">
        <f>L41</f>
        <v>3.4285714285714284</v>
      </c>
      <c r="M132" s="467">
        <f>$C$15</f>
        <v>0.546</v>
      </c>
      <c r="N132" s="468">
        <f>K132*L132*M132</f>
        <v>0</v>
      </c>
      <c r="O132" s="470">
        <f>N132</f>
        <v>0</v>
      </c>
      <c r="P132" s="482">
        <v>1</v>
      </c>
      <c r="Q132" s="483">
        <f>K132*P132</f>
        <v>0</v>
      </c>
      <c r="R132" s="487"/>
      <c r="S132" s="48"/>
      <c r="T132" s="48"/>
      <c r="U132" s="48"/>
      <c r="V132" s="48"/>
      <c r="W132" s="48"/>
      <c r="X132" s="16"/>
      <c r="Y132" s="16"/>
    </row>
    <row r="133" spans="1:25" ht="15.75">
      <c r="A133" s="393">
        <v>2</v>
      </c>
      <c r="B133" s="424" t="s">
        <v>444</v>
      </c>
      <c r="C133" s="390"/>
      <c r="D133" s="390"/>
      <c r="I133" s="425"/>
      <c r="J133" s="425"/>
      <c r="K133" s="425"/>
      <c r="L133" s="467"/>
      <c r="M133" s="467"/>
      <c r="N133" s="468"/>
      <c r="O133" s="469"/>
      <c r="P133" s="482"/>
      <c r="Q133" s="483"/>
      <c r="R133" s="487"/>
      <c r="S133" s="48"/>
      <c r="T133" s="48"/>
      <c r="U133" s="49"/>
      <c r="V133" s="48"/>
      <c r="W133" s="48"/>
      <c r="X133" s="16"/>
      <c r="Y133" s="16"/>
    </row>
    <row r="134" spans="1:25" ht="15.75">
      <c r="A134" s="393"/>
      <c r="B134" s="424"/>
      <c r="C134" s="390" t="s">
        <v>576</v>
      </c>
      <c r="D134" s="390"/>
      <c r="I134" s="425">
        <f>'A.RAPIDO'!K16</f>
        <v>0</v>
      </c>
      <c r="J134" s="425">
        <v>1</v>
      </c>
      <c r="K134" s="425">
        <f aca="true" t="shared" si="29" ref="K134:K141">J134*(I134)</f>
        <v>0</v>
      </c>
      <c r="L134" s="467">
        <f>$L$79</f>
        <v>0.5714285714285715</v>
      </c>
      <c r="M134" s="467">
        <f aca="true" t="shared" si="30" ref="M134:M141">$C$15</f>
        <v>0.546</v>
      </c>
      <c r="N134" s="468">
        <f aca="true" t="shared" si="31" ref="N134:N141">K134*L134*M134</f>
        <v>0</v>
      </c>
      <c r="O134" s="469"/>
      <c r="P134" s="482">
        <v>4</v>
      </c>
      <c r="Q134" s="483">
        <f aca="true" t="shared" si="32" ref="Q134:Q141">K134*P134</f>
        <v>0</v>
      </c>
      <c r="R134" s="487"/>
      <c r="S134" s="48"/>
      <c r="T134" s="48"/>
      <c r="U134" s="49"/>
      <c r="V134" s="48"/>
      <c r="W134" s="48"/>
      <c r="X134" s="16"/>
      <c r="Y134" s="16"/>
    </row>
    <row r="135" spans="1:25" ht="15.75">
      <c r="A135" s="393"/>
      <c r="B135" s="424"/>
      <c r="C135" s="390" t="s">
        <v>563</v>
      </c>
      <c r="D135" s="390"/>
      <c r="I135" s="425">
        <f>'A.RAPIDO'!K17+'A.RAPIDO'!K18</f>
        <v>0</v>
      </c>
      <c r="J135" s="425">
        <v>2</v>
      </c>
      <c r="K135" s="425">
        <f t="shared" si="29"/>
        <v>0</v>
      </c>
      <c r="L135" s="467">
        <f aca="true" t="shared" si="33" ref="L135:L140">$L$79</f>
        <v>0.5714285714285715</v>
      </c>
      <c r="M135" s="467">
        <f t="shared" si="30"/>
        <v>0.546</v>
      </c>
      <c r="N135" s="468">
        <f t="shared" si="31"/>
        <v>0</v>
      </c>
      <c r="O135" s="469"/>
      <c r="P135" s="482">
        <v>4</v>
      </c>
      <c r="Q135" s="483">
        <f t="shared" si="32"/>
        <v>0</v>
      </c>
      <c r="R135" s="487"/>
      <c r="S135" s="48"/>
      <c r="T135" s="48"/>
      <c r="U135" s="49"/>
      <c r="V135" s="48"/>
      <c r="W135" s="48"/>
      <c r="X135" s="16"/>
      <c r="Y135" s="16"/>
    </row>
    <row r="136" spans="1:25" ht="15.75">
      <c r="A136" s="393"/>
      <c r="B136" s="424"/>
      <c r="C136" s="432" t="s">
        <v>492</v>
      </c>
      <c r="D136" s="390"/>
      <c r="I136" s="425">
        <f>'A.RAPIDO'!K19+'A.RAPIDO'!K20</f>
        <v>0</v>
      </c>
      <c r="J136" s="425">
        <v>3</v>
      </c>
      <c r="K136" s="425">
        <f t="shared" si="29"/>
        <v>0</v>
      </c>
      <c r="L136" s="467">
        <f t="shared" si="33"/>
        <v>0.5714285714285715</v>
      </c>
      <c r="M136" s="467">
        <f t="shared" si="30"/>
        <v>0.546</v>
      </c>
      <c r="N136" s="468">
        <f t="shared" si="31"/>
        <v>0</v>
      </c>
      <c r="O136" s="470">
        <f>N136</f>
        <v>0</v>
      </c>
      <c r="P136" s="482">
        <v>4</v>
      </c>
      <c r="Q136" s="483">
        <f t="shared" si="32"/>
        <v>0</v>
      </c>
      <c r="R136" s="487"/>
      <c r="S136" s="48"/>
      <c r="T136" s="48"/>
      <c r="U136" s="49"/>
      <c r="V136" s="48"/>
      <c r="W136" s="48"/>
      <c r="X136" s="16"/>
      <c r="Y136" s="16"/>
    </row>
    <row r="137" spans="1:25" ht="15.75">
      <c r="A137" s="393"/>
      <c r="B137" s="424"/>
      <c r="C137" s="432" t="s">
        <v>504</v>
      </c>
      <c r="D137" s="390"/>
      <c r="I137" s="425">
        <f>'A.RAPIDO'!K21+'A.RAPIDO'!K22</f>
        <v>0</v>
      </c>
      <c r="J137" s="425">
        <v>2</v>
      </c>
      <c r="K137" s="425">
        <f t="shared" si="29"/>
        <v>0</v>
      </c>
      <c r="L137" s="467">
        <f>L132</f>
        <v>3.4285714285714284</v>
      </c>
      <c r="M137" s="467">
        <f t="shared" si="30"/>
        <v>0.546</v>
      </c>
      <c r="N137" s="468">
        <f t="shared" si="31"/>
        <v>0</v>
      </c>
      <c r="O137" s="470">
        <f>N137</f>
        <v>0</v>
      </c>
      <c r="P137" s="482">
        <v>1</v>
      </c>
      <c r="Q137" s="483">
        <f t="shared" si="32"/>
        <v>0</v>
      </c>
      <c r="R137" s="487"/>
      <c r="S137" s="48"/>
      <c r="T137" s="48"/>
      <c r="U137" s="49"/>
      <c r="V137" s="48"/>
      <c r="W137" s="48"/>
      <c r="X137" s="16"/>
      <c r="Y137" s="16"/>
    </row>
    <row r="138" spans="1:25" ht="15.75">
      <c r="A138" s="393"/>
      <c r="B138" s="424"/>
      <c r="C138" s="111" t="s">
        <v>576</v>
      </c>
      <c r="D138" s="390"/>
      <c r="I138" s="425">
        <f>'A.RAPIDO'!L16</f>
        <v>0</v>
      </c>
      <c r="J138" s="425">
        <v>2</v>
      </c>
      <c r="K138" s="425">
        <f t="shared" si="29"/>
        <v>0</v>
      </c>
      <c r="L138" s="467">
        <f t="shared" si="33"/>
        <v>0.5714285714285715</v>
      </c>
      <c r="M138" s="467">
        <f t="shared" si="30"/>
        <v>0.546</v>
      </c>
      <c r="N138" s="468">
        <f t="shared" si="31"/>
        <v>0</v>
      </c>
      <c r="O138" s="469"/>
      <c r="P138" s="482">
        <v>4</v>
      </c>
      <c r="Q138" s="483">
        <f t="shared" si="32"/>
        <v>0</v>
      </c>
      <c r="R138" s="487"/>
      <c r="S138" s="48"/>
      <c r="T138" s="48"/>
      <c r="U138" s="49"/>
      <c r="V138" s="48"/>
      <c r="W138" s="48"/>
      <c r="X138" s="16"/>
      <c r="Y138" s="16"/>
    </row>
    <row r="139" spans="1:25" ht="15.75">
      <c r="A139" s="393"/>
      <c r="B139" s="424"/>
      <c r="C139" s="111" t="s">
        <v>563</v>
      </c>
      <c r="D139" s="390"/>
      <c r="I139" s="425">
        <f>'A.RAPIDO'!L17+'A.RAPIDO'!L18</f>
        <v>0</v>
      </c>
      <c r="J139" s="425">
        <v>3</v>
      </c>
      <c r="K139" s="425">
        <f t="shared" si="29"/>
        <v>0</v>
      </c>
      <c r="L139" s="467">
        <f t="shared" si="33"/>
        <v>0.5714285714285715</v>
      </c>
      <c r="M139" s="467">
        <f t="shared" si="30"/>
        <v>0.546</v>
      </c>
      <c r="N139" s="468">
        <f t="shared" si="31"/>
        <v>0</v>
      </c>
      <c r="O139" s="469"/>
      <c r="P139" s="482">
        <v>4</v>
      </c>
      <c r="Q139" s="483">
        <f t="shared" si="32"/>
        <v>0</v>
      </c>
      <c r="R139" s="487"/>
      <c r="S139" s="48"/>
      <c r="T139" s="48"/>
      <c r="U139" s="49"/>
      <c r="V139" s="48"/>
      <c r="W139" s="48"/>
      <c r="X139" s="16"/>
      <c r="Y139" s="16"/>
    </row>
    <row r="140" spans="1:25" ht="15.75">
      <c r="A140" s="393"/>
      <c r="B140" s="424"/>
      <c r="C140" s="111" t="s">
        <v>492</v>
      </c>
      <c r="D140" s="390"/>
      <c r="I140" s="425">
        <f>'A.RAPIDO'!L19+'A.RAPIDO'!L20</f>
        <v>0</v>
      </c>
      <c r="J140" s="425">
        <v>4</v>
      </c>
      <c r="K140" s="425">
        <f t="shared" si="29"/>
        <v>0</v>
      </c>
      <c r="L140" s="467">
        <f t="shared" si="33"/>
        <v>0.5714285714285715</v>
      </c>
      <c r="M140" s="467">
        <f t="shared" si="30"/>
        <v>0.546</v>
      </c>
      <c r="N140" s="468">
        <f t="shared" si="31"/>
        <v>0</v>
      </c>
      <c r="O140" s="470">
        <f>N140</f>
        <v>0</v>
      </c>
      <c r="P140" s="482">
        <v>4</v>
      </c>
      <c r="Q140" s="483">
        <f t="shared" si="32"/>
        <v>0</v>
      </c>
      <c r="R140" s="487"/>
      <c r="S140" s="48"/>
      <c r="T140" s="48"/>
      <c r="U140" s="49"/>
      <c r="V140" s="48"/>
      <c r="W140" s="48"/>
      <c r="X140" s="16"/>
      <c r="Y140" s="16"/>
    </row>
    <row r="141" spans="1:25" ht="15.75">
      <c r="A141" s="393"/>
      <c r="B141" s="424"/>
      <c r="C141" s="111" t="s">
        <v>504</v>
      </c>
      <c r="D141" s="390"/>
      <c r="I141" s="425">
        <f>'A.RAPIDO'!L21+'A.RAPIDO'!L22</f>
        <v>0</v>
      </c>
      <c r="J141" s="425">
        <v>3</v>
      </c>
      <c r="K141" s="425">
        <f t="shared" si="29"/>
        <v>0</v>
      </c>
      <c r="L141" s="467">
        <f>L132</f>
        <v>3.4285714285714284</v>
      </c>
      <c r="M141" s="467">
        <f t="shared" si="30"/>
        <v>0.546</v>
      </c>
      <c r="N141" s="468">
        <f t="shared" si="31"/>
        <v>0</v>
      </c>
      <c r="O141" s="470">
        <f>N141</f>
        <v>0</v>
      </c>
      <c r="P141" s="482">
        <v>1</v>
      </c>
      <c r="Q141" s="483">
        <f t="shared" si="32"/>
        <v>0</v>
      </c>
      <c r="R141" s="487"/>
      <c r="S141" s="48"/>
      <c r="T141" s="48"/>
      <c r="U141" s="49"/>
      <c r="V141" s="48"/>
      <c r="W141" s="48"/>
      <c r="X141" s="16"/>
      <c r="Y141" s="16"/>
    </row>
    <row r="142" spans="1:25" ht="15.75">
      <c r="A142" s="393"/>
      <c r="B142" s="424"/>
      <c r="C142" s="390"/>
      <c r="D142" s="390"/>
      <c r="I142" s="425"/>
      <c r="J142" s="425"/>
      <c r="K142" s="425"/>
      <c r="L142" s="467"/>
      <c r="M142" s="467"/>
      <c r="N142" s="468"/>
      <c r="O142" s="469"/>
      <c r="P142" s="482"/>
      <c r="Q142" s="483"/>
      <c r="R142" s="487"/>
      <c r="S142" s="48"/>
      <c r="T142" s="48"/>
      <c r="U142" s="49"/>
      <c r="V142" s="48"/>
      <c r="W142" s="48"/>
      <c r="X142" s="16"/>
      <c r="Y142" s="16"/>
    </row>
    <row r="143" spans="1:25" ht="13.5" thickBot="1">
      <c r="A143" s="393">
        <v>3</v>
      </c>
      <c r="B143" s="390"/>
      <c r="C143" s="390"/>
      <c r="D143" s="390"/>
      <c r="I143" s="425"/>
      <c r="J143" s="425"/>
      <c r="K143" s="425">
        <f>J143*(I143)</f>
        <v>0</v>
      </c>
      <c r="L143" s="467"/>
      <c r="M143" s="467"/>
      <c r="N143" s="468"/>
      <c r="O143" s="469"/>
      <c r="P143" s="482"/>
      <c r="Q143" s="483"/>
      <c r="R143" s="487"/>
      <c r="S143" s="48"/>
      <c r="T143" s="48"/>
      <c r="U143" s="48"/>
      <c r="V143" s="48"/>
      <c r="W143" s="48"/>
      <c r="X143" s="16"/>
      <c r="Y143" s="16"/>
    </row>
    <row r="144" spans="1:25" ht="13.5" thickBot="1">
      <c r="A144" s="389"/>
      <c r="B144" s="388" t="s">
        <v>16</v>
      </c>
      <c r="C144" s="398"/>
      <c r="D144" s="398"/>
      <c r="E144" s="398"/>
      <c r="F144" s="398"/>
      <c r="G144" s="398"/>
      <c r="H144" s="428"/>
      <c r="I144" s="381">
        <f>SUM(I145:I152)</f>
        <v>0</v>
      </c>
      <c r="J144" s="381"/>
      <c r="K144" s="381">
        <f>SUM(K145:K152)</f>
        <v>0</v>
      </c>
      <c r="L144" s="436">
        <f>SUM(L145:L152)</f>
        <v>6.285714285714286</v>
      </c>
      <c r="M144" s="436">
        <f>SUM(M145:M152)</f>
        <v>3.2760000000000007</v>
      </c>
      <c r="N144" s="471">
        <f>SUM(N145:N152)</f>
        <v>0</v>
      </c>
      <c r="O144" s="471">
        <f>SUM(O145:O152)</f>
        <v>0</v>
      </c>
      <c r="P144" s="502"/>
      <c r="Q144" s="503">
        <f>SUM(Q145:Q152)</f>
        <v>0</v>
      </c>
      <c r="R144" s="487"/>
      <c r="S144" s="48"/>
      <c r="T144" s="48"/>
      <c r="U144" s="48"/>
      <c r="V144" s="48"/>
      <c r="W144" s="48"/>
      <c r="X144" s="16"/>
      <c r="Y144" s="16"/>
    </row>
    <row r="145" spans="1:25" ht="15.75">
      <c r="A145" s="393">
        <v>1</v>
      </c>
      <c r="B145" s="424" t="s">
        <v>447</v>
      </c>
      <c r="C145" s="390"/>
      <c r="D145" s="390"/>
      <c r="I145" s="425"/>
      <c r="J145" s="425"/>
      <c r="K145" s="425"/>
      <c r="L145" s="467"/>
      <c r="M145" s="467"/>
      <c r="N145" s="472"/>
      <c r="O145" s="469"/>
      <c r="P145" s="482"/>
      <c r="Q145" s="483"/>
      <c r="R145" s="487"/>
      <c r="S145" s="48"/>
      <c r="T145" s="48"/>
      <c r="U145" s="48"/>
      <c r="V145" s="48"/>
      <c r="W145" s="48"/>
      <c r="X145" s="16"/>
      <c r="Y145" s="16"/>
    </row>
    <row r="146" spans="1:25" ht="12.75">
      <c r="A146" s="393"/>
      <c r="B146" s="390"/>
      <c r="C146" s="390" t="s">
        <v>537</v>
      </c>
      <c r="D146" s="390"/>
      <c r="I146" s="425">
        <f>'A.PESADO'!K5</f>
        <v>0</v>
      </c>
      <c r="J146" s="425">
        <v>1</v>
      </c>
      <c r="K146" s="425">
        <f aca="true" t="shared" si="34" ref="K146:K152">J146*(I146)</f>
        <v>0</v>
      </c>
      <c r="L146" s="467">
        <f>$L$74</f>
        <v>0.5714285714285715</v>
      </c>
      <c r="M146" s="468">
        <f aca="true" t="shared" si="35" ref="M146:M151">$C$15</f>
        <v>0.546</v>
      </c>
      <c r="N146" s="425">
        <f aca="true" t="shared" si="36" ref="N146:N151">K146*L146*M146</f>
        <v>0</v>
      </c>
      <c r="O146" s="469"/>
      <c r="P146" s="482">
        <v>4</v>
      </c>
      <c r="Q146" s="483">
        <f aca="true" t="shared" si="37" ref="Q146:Q151">K146*P146</f>
        <v>0</v>
      </c>
      <c r="R146" s="488"/>
      <c r="S146" s="48"/>
      <c r="T146" s="48"/>
      <c r="U146" s="48"/>
      <c r="V146" s="48"/>
      <c r="W146" s="48"/>
      <c r="X146" s="16"/>
      <c r="Y146" s="16"/>
    </row>
    <row r="147" spans="1:25" ht="12.75">
      <c r="A147" s="393"/>
      <c r="B147" s="390"/>
      <c r="C147" s="390" t="s">
        <v>536</v>
      </c>
      <c r="D147" s="390"/>
      <c r="I147" s="425">
        <f>'A.PESADO'!K6+'A.PESADO'!K7</f>
        <v>0</v>
      </c>
      <c r="J147" s="425">
        <v>2</v>
      </c>
      <c r="K147" s="425">
        <f t="shared" si="34"/>
        <v>0</v>
      </c>
      <c r="L147" s="467">
        <f>$L$74</f>
        <v>0.5714285714285715</v>
      </c>
      <c r="M147" s="468">
        <f t="shared" si="35"/>
        <v>0.546</v>
      </c>
      <c r="N147" s="425">
        <f t="shared" si="36"/>
        <v>0</v>
      </c>
      <c r="O147" s="469"/>
      <c r="P147" s="482">
        <v>4</v>
      </c>
      <c r="Q147" s="483">
        <f t="shared" si="37"/>
        <v>0</v>
      </c>
      <c r="R147" s="487"/>
      <c r="S147" s="48"/>
      <c r="T147" s="48"/>
      <c r="U147" s="50"/>
      <c r="V147" s="48"/>
      <c r="W147" s="48"/>
      <c r="X147" s="16"/>
      <c r="Y147" s="16"/>
    </row>
    <row r="148" spans="1:25" ht="12.75">
      <c r="A148" s="393"/>
      <c r="B148" s="390"/>
      <c r="C148" s="368" t="s">
        <v>535</v>
      </c>
      <c r="D148" s="390"/>
      <c r="I148" s="425">
        <f>'A.PESADO'!K8+'A.PESADO'!K9</f>
        <v>0</v>
      </c>
      <c r="J148" s="425">
        <v>3</v>
      </c>
      <c r="K148" s="425">
        <f t="shared" si="34"/>
        <v>0</v>
      </c>
      <c r="L148" s="467">
        <f>$L$74</f>
        <v>0.5714285714285715</v>
      </c>
      <c r="M148" s="468">
        <f t="shared" si="35"/>
        <v>0.546</v>
      </c>
      <c r="N148" s="425">
        <f t="shared" si="36"/>
        <v>0</v>
      </c>
      <c r="O148" s="469"/>
      <c r="P148" s="482">
        <v>4</v>
      </c>
      <c r="Q148" s="483">
        <f t="shared" si="37"/>
        <v>0</v>
      </c>
      <c r="R148" s="487"/>
      <c r="S148" s="48"/>
      <c r="T148" s="48"/>
      <c r="U148" s="50"/>
      <c r="V148" s="48"/>
      <c r="W148" s="48"/>
      <c r="X148" s="16"/>
      <c r="Y148" s="16"/>
    </row>
    <row r="149" spans="1:25" ht="12.75">
      <c r="A149" s="393"/>
      <c r="B149" s="390"/>
      <c r="C149" s="432" t="s">
        <v>492</v>
      </c>
      <c r="D149" s="390"/>
      <c r="I149" s="425">
        <f>'A.PESADO'!K12+'A.PESADO'!K13</f>
        <v>0</v>
      </c>
      <c r="J149" s="425">
        <v>3</v>
      </c>
      <c r="K149" s="425">
        <f t="shared" si="34"/>
        <v>0</v>
      </c>
      <c r="L149" s="467">
        <f>$L$74</f>
        <v>0.5714285714285715</v>
      </c>
      <c r="M149" s="468">
        <f t="shared" si="35"/>
        <v>0.546</v>
      </c>
      <c r="N149" s="425">
        <f t="shared" si="36"/>
        <v>0</v>
      </c>
      <c r="O149" s="469">
        <f>N149</f>
        <v>0</v>
      </c>
      <c r="P149" s="482">
        <v>4</v>
      </c>
      <c r="Q149" s="483">
        <f t="shared" si="37"/>
        <v>0</v>
      </c>
      <c r="R149" s="487"/>
      <c r="S149" s="48"/>
      <c r="T149" s="48"/>
      <c r="U149" s="50"/>
      <c r="V149" s="48"/>
      <c r="W149" s="48"/>
      <c r="X149" s="16"/>
      <c r="Y149" s="16"/>
    </row>
    <row r="150" spans="1:25" ht="12.75">
      <c r="A150" s="393"/>
      <c r="B150" s="390"/>
      <c r="C150" s="432" t="s">
        <v>504</v>
      </c>
      <c r="D150" s="390"/>
      <c r="I150" s="425">
        <f>'A.PESADO'!K14+'A.PESADO'!K15</f>
        <v>0</v>
      </c>
      <c r="J150" s="425">
        <v>2</v>
      </c>
      <c r="K150" s="425">
        <f t="shared" si="34"/>
        <v>0</v>
      </c>
      <c r="L150" s="467">
        <f>L141</f>
        <v>3.4285714285714284</v>
      </c>
      <c r="M150" s="468">
        <f t="shared" si="35"/>
        <v>0.546</v>
      </c>
      <c r="N150" s="425">
        <f t="shared" si="36"/>
        <v>0</v>
      </c>
      <c r="O150" s="469">
        <f>N150</f>
        <v>0</v>
      </c>
      <c r="P150" s="482">
        <v>1</v>
      </c>
      <c r="Q150" s="483">
        <f t="shared" si="37"/>
        <v>0</v>
      </c>
      <c r="R150" s="487"/>
      <c r="S150" s="48"/>
      <c r="T150" s="48"/>
      <c r="U150" s="50"/>
      <c r="V150" s="48"/>
      <c r="W150" s="48"/>
      <c r="X150" s="16"/>
      <c r="Y150" s="16"/>
    </row>
    <row r="151" spans="1:25" ht="12.75">
      <c r="A151" s="393"/>
      <c r="B151" s="390"/>
      <c r="C151" s="432" t="s">
        <v>266</v>
      </c>
      <c r="D151" s="390"/>
      <c r="I151" s="425">
        <f>'A.PESADO'!K10+'A.PESADO'!K11</f>
        <v>0</v>
      </c>
      <c r="J151" s="425">
        <v>2</v>
      </c>
      <c r="K151" s="425">
        <f t="shared" si="34"/>
        <v>0</v>
      </c>
      <c r="L151" s="467">
        <f>$L$74</f>
        <v>0.5714285714285715</v>
      </c>
      <c r="M151" s="468">
        <f t="shared" si="35"/>
        <v>0.546</v>
      </c>
      <c r="N151" s="425">
        <f t="shared" si="36"/>
        <v>0</v>
      </c>
      <c r="O151" s="469">
        <f>N151</f>
        <v>0</v>
      </c>
      <c r="P151" s="482">
        <v>4</v>
      </c>
      <c r="Q151" s="483">
        <f t="shared" si="37"/>
        <v>0</v>
      </c>
      <c r="R151" s="487"/>
      <c r="S151" s="48"/>
      <c r="T151" s="48"/>
      <c r="U151" s="50"/>
      <c r="V151" s="48"/>
      <c r="W151" s="48"/>
      <c r="X151" s="16"/>
      <c r="Y151" s="16"/>
    </row>
    <row r="152" spans="1:25" ht="13.5" thickBot="1">
      <c r="A152" s="393">
        <v>3</v>
      </c>
      <c r="B152" s="390"/>
      <c r="C152" s="390"/>
      <c r="D152" s="390"/>
      <c r="I152" s="425"/>
      <c r="J152" s="425"/>
      <c r="K152" s="425">
        <f t="shared" si="34"/>
        <v>0</v>
      </c>
      <c r="L152" s="467"/>
      <c r="M152" s="467"/>
      <c r="N152" s="473"/>
      <c r="O152" s="469"/>
      <c r="P152" s="482"/>
      <c r="Q152" s="483"/>
      <c r="R152" s="487"/>
      <c r="S152" s="48"/>
      <c r="T152" s="48"/>
      <c r="U152" s="50"/>
      <c r="V152" s="48"/>
      <c r="W152" s="48"/>
      <c r="X152" s="16"/>
      <c r="Y152" s="16"/>
    </row>
    <row r="153" spans="1:25" ht="13.5" thickBot="1">
      <c r="A153" s="389"/>
      <c r="B153" s="388" t="s">
        <v>18</v>
      </c>
      <c r="C153" s="398"/>
      <c r="D153" s="398"/>
      <c r="E153" s="398"/>
      <c r="F153" s="398"/>
      <c r="G153" s="398"/>
      <c r="H153" s="428"/>
      <c r="I153" s="381">
        <f>SUM(I154:I159)</f>
        <v>0</v>
      </c>
      <c r="J153" s="381"/>
      <c r="K153" s="381">
        <f>SUM(K154:K159)</f>
        <v>0</v>
      </c>
      <c r="L153" s="436">
        <f>SUM(L154:L159)</f>
        <v>0</v>
      </c>
      <c r="M153" s="436">
        <f>SUM(M154:M159)</f>
        <v>0</v>
      </c>
      <c r="N153" s="471">
        <f>SUM(N154:N159)</f>
        <v>0</v>
      </c>
      <c r="O153" s="471">
        <f>SUM(O154:O159)</f>
        <v>0</v>
      </c>
      <c r="P153" s="502"/>
      <c r="Q153" s="503">
        <f>SUM(Q154:Q159)</f>
        <v>0</v>
      </c>
      <c r="R153" s="487"/>
      <c r="S153" s="48"/>
      <c r="T153" s="48"/>
      <c r="U153" s="50"/>
      <c r="V153" s="48"/>
      <c r="W153" s="48"/>
      <c r="X153" s="16"/>
      <c r="Y153" s="16"/>
    </row>
    <row r="154" spans="1:25" ht="12.75">
      <c r="A154" s="393">
        <v>1</v>
      </c>
      <c r="B154" s="111"/>
      <c r="C154" s="390"/>
      <c r="D154" s="390"/>
      <c r="H154" s="415"/>
      <c r="I154" s="425"/>
      <c r="J154" s="425"/>
      <c r="K154" s="425">
        <f aca="true" t="shared" si="38" ref="K154:K160">J154*(I154)</f>
        <v>0</v>
      </c>
      <c r="L154" s="467"/>
      <c r="M154" s="467"/>
      <c r="N154" s="468"/>
      <c r="O154" s="469"/>
      <c r="P154" s="482"/>
      <c r="Q154" s="489"/>
      <c r="R154" s="490"/>
      <c r="S154" s="48"/>
      <c r="T154" s="48"/>
      <c r="U154" s="16"/>
      <c r="V154" s="48"/>
      <c r="W154" s="48"/>
      <c r="X154" s="16"/>
      <c r="Y154" s="16"/>
    </row>
    <row r="155" spans="1:25" ht="12.75">
      <c r="A155" s="393">
        <v>2</v>
      </c>
      <c r="B155" s="111"/>
      <c r="C155" s="390"/>
      <c r="D155" s="390"/>
      <c r="H155" s="415"/>
      <c r="I155" s="425"/>
      <c r="J155" s="425"/>
      <c r="K155" s="425">
        <f t="shared" si="38"/>
        <v>0</v>
      </c>
      <c r="L155" s="467"/>
      <c r="M155" s="467"/>
      <c r="N155" s="468"/>
      <c r="O155" s="469"/>
      <c r="P155" s="482"/>
      <c r="Q155" s="483"/>
      <c r="R155" s="487"/>
      <c r="S155" s="48"/>
      <c r="T155" s="48"/>
      <c r="U155" s="50"/>
      <c r="V155" s="48"/>
      <c r="W155" s="48"/>
      <c r="X155" s="16"/>
      <c r="Y155" s="16"/>
    </row>
    <row r="156" spans="1:25" ht="12.75">
      <c r="A156" s="393">
        <v>3</v>
      </c>
      <c r="B156" s="111"/>
      <c r="C156" s="390"/>
      <c r="D156" s="390"/>
      <c r="I156" s="425"/>
      <c r="J156" s="425"/>
      <c r="K156" s="425">
        <f t="shared" si="38"/>
        <v>0</v>
      </c>
      <c r="L156" s="467"/>
      <c r="M156" s="467"/>
      <c r="N156" s="468"/>
      <c r="O156" s="469"/>
      <c r="P156" s="482"/>
      <c r="Q156" s="483"/>
      <c r="R156" s="487"/>
      <c r="S156" s="48"/>
      <c r="T156" s="48"/>
      <c r="U156" s="50"/>
      <c r="V156" s="48"/>
      <c r="W156" s="48"/>
      <c r="X156" s="16"/>
      <c r="Y156" s="16"/>
    </row>
    <row r="157" spans="1:25" ht="12.75">
      <c r="A157" s="393">
        <v>4</v>
      </c>
      <c r="B157" s="111"/>
      <c r="C157" s="390"/>
      <c r="D157" s="390"/>
      <c r="I157" s="425"/>
      <c r="J157" s="425"/>
      <c r="K157" s="425">
        <f t="shared" si="38"/>
        <v>0</v>
      </c>
      <c r="L157" s="467"/>
      <c r="M157" s="467"/>
      <c r="N157" s="468"/>
      <c r="O157" s="469"/>
      <c r="P157" s="482"/>
      <c r="Q157" s="483"/>
      <c r="R157" s="487"/>
      <c r="S157" s="48"/>
      <c r="T157" s="48"/>
      <c r="U157" s="50"/>
      <c r="V157" s="48"/>
      <c r="W157" s="48"/>
      <c r="X157" s="16"/>
      <c r="Y157" s="16"/>
    </row>
    <row r="158" spans="1:25" ht="12.75">
      <c r="A158" s="393">
        <v>5</v>
      </c>
      <c r="B158" s="111"/>
      <c r="C158" s="390"/>
      <c r="D158" s="390"/>
      <c r="I158" s="425"/>
      <c r="J158" s="425"/>
      <c r="K158" s="425">
        <f t="shared" si="38"/>
        <v>0</v>
      </c>
      <c r="L158" s="467"/>
      <c r="M158" s="467"/>
      <c r="N158" s="468"/>
      <c r="O158" s="469"/>
      <c r="P158" s="482"/>
      <c r="Q158" s="483"/>
      <c r="R158" s="487"/>
      <c r="S158" s="48"/>
      <c r="T158" s="48"/>
      <c r="U158" s="50"/>
      <c r="V158" s="48"/>
      <c r="W158" s="48"/>
      <c r="X158" s="16"/>
      <c r="Y158" s="16"/>
    </row>
    <row r="159" spans="1:25" ht="12.75">
      <c r="A159" s="393">
        <v>6</v>
      </c>
      <c r="B159" s="111"/>
      <c r="C159" s="390"/>
      <c r="D159" s="390"/>
      <c r="I159" s="425"/>
      <c r="J159" s="425"/>
      <c r="K159" s="425">
        <f t="shared" si="38"/>
        <v>0</v>
      </c>
      <c r="L159" s="467"/>
      <c r="M159" s="467"/>
      <c r="N159" s="468"/>
      <c r="O159" s="469"/>
      <c r="P159" s="482"/>
      <c r="Q159" s="483"/>
      <c r="R159" s="487"/>
      <c r="S159" s="48"/>
      <c r="T159" s="48"/>
      <c r="U159" s="50"/>
      <c r="V159" s="48"/>
      <c r="W159" s="48"/>
      <c r="X159" s="16"/>
      <c r="Y159" s="16"/>
    </row>
    <row r="160" spans="1:25" ht="13.5" thickBot="1">
      <c r="A160" s="394"/>
      <c r="B160" s="111"/>
      <c r="C160" s="390"/>
      <c r="D160" s="390"/>
      <c r="I160" s="425"/>
      <c r="J160" s="425"/>
      <c r="K160" s="425">
        <f t="shared" si="38"/>
        <v>0</v>
      </c>
      <c r="L160" s="467"/>
      <c r="M160" s="467"/>
      <c r="N160" s="468"/>
      <c r="O160" s="469"/>
      <c r="P160" s="482"/>
      <c r="Q160" s="483"/>
      <c r="R160" s="487"/>
      <c r="S160" s="48"/>
      <c r="T160" s="48"/>
      <c r="U160" s="50"/>
      <c r="V160" s="48"/>
      <c r="W160" s="48"/>
      <c r="X160" s="16"/>
      <c r="Y160" s="16"/>
    </row>
    <row r="161" spans="1:25" ht="13.5" thickBot="1">
      <c r="A161" s="389"/>
      <c r="B161" s="388" t="s">
        <v>1</v>
      </c>
      <c r="C161" s="398"/>
      <c r="D161" s="398"/>
      <c r="E161" s="398"/>
      <c r="F161" s="398"/>
      <c r="G161" s="398"/>
      <c r="H161" s="428"/>
      <c r="I161" s="381">
        <f>I30+I77+I86+I127+I144+I153</f>
        <v>0</v>
      </c>
      <c r="J161" s="381"/>
      <c r="K161" s="434">
        <f>K30+K77+K86+K127+K144+K153</f>
        <v>0</v>
      </c>
      <c r="L161" s="474">
        <f>L30+L77+L86+L127+L144+L153</f>
        <v>80.76190476190477</v>
      </c>
      <c r="M161" s="474">
        <f>M30+M77+M86+M127+M144+M153</f>
        <v>27.299999999999997</v>
      </c>
      <c r="N161" s="446">
        <f>N30+N77+N86+N127+N144+N153</f>
        <v>0</v>
      </c>
      <c r="O161" s="475" t="e">
        <f>((O30+O77+O86+O127+O144+O153)/N161)*100</f>
        <v>#DIV/0!</v>
      </c>
      <c r="P161" s="491"/>
      <c r="Q161" s="504" t="e">
        <f>((Q30+Q77+Q86+Q127+Q144+Q153)/K161)</f>
        <v>#DIV/0!</v>
      </c>
      <c r="R161" s="487"/>
      <c r="S161" s="48"/>
      <c r="T161" s="48"/>
      <c r="U161" s="50"/>
      <c r="V161" s="48"/>
      <c r="W161" s="48"/>
      <c r="X161" s="16"/>
      <c r="Y161" s="16"/>
    </row>
    <row r="162" spans="14:25" ht="13.5" thickBot="1">
      <c r="N162" s="436">
        <f>(-0.00013912*N161*N161)+(N161*0.052927)-0.00014275</f>
        <v>-0.00014275</v>
      </c>
      <c r="O162" s="435" t="s">
        <v>172</v>
      </c>
      <c r="P162" s="505"/>
      <c r="Q162" s="506" t="s">
        <v>177</v>
      </c>
      <c r="R162" s="487"/>
      <c r="S162" s="48"/>
      <c r="T162" s="48"/>
      <c r="U162" s="50"/>
      <c r="V162" s="48"/>
      <c r="W162" s="48"/>
      <c r="X162" s="16"/>
      <c r="Y162" s="16"/>
    </row>
    <row r="163" spans="4:25" ht="12.75">
      <c r="D163" s="435"/>
      <c r="E163" s="476"/>
      <c r="F163" s="477"/>
      <c r="G163" s="476"/>
      <c r="H163" s="477"/>
      <c r="I163" s="435"/>
      <c r="J163" s="435"/>
      <c r="K163" s="435"/>
      <c r="L163" s="435"/>
      <c r="N163" s="435" t="s">
        <v>578</v>
      </c>
      <c r="R163" s="487"/>
      <c r="S163" s="48"/>
      <c r="T163" s="48"/>
      <c r="U163" s="50"/>
      <c r="V163" s="48"/>
      <c r="W163" s="48"/>
      <c r="X163" s="16"/>
      <c r="Y163" s="16"/>
    </row>
    <row r="164" spans="18:25" ht="12.75">
      <c r="R164" s="487"/>
      <c r="S164" s="48"/>
      <c r="T164" s="48"/>
      <c r="U164" s="50"/>
      <c r="V164" s="48"/>
      <c r="W164" s="48"/>
      <c r="X164" s="16"/>
      <c r="Y164" s="16"/>
    </row>
    <row r="165" spans="18:25" ht="12.75">
      <c r="R165" s="490"/>
      <c r="S165" s="48"/>
      <c r="T165" s="48"/>
      <c r="U165" s="16"/>
      <c r="V165" s="48"/>
      <c r="W165" s="48"/>
      <c r="X165" s="16"/>
      <c r="Y165" s="16"/>
    </row>
    <row r="166" spans="18:25" ht="12.75">
      <c r="R166" s="487"/>
      <c r="S166" s="48"/>
      <c r="T166" s="48"/>
      <c r="U166" s="50"/>
      <c r="V166" s="48"/>
      <c r="W166" s="48"/>
      <c r="X166" s="16"/>
      <c r="Y166" s="16"/>
    </row>
    <row r="167" spans="18:25" ht="12.75">
      <c r="R167" s="487"/>
      <c r="S167" s="48"/>
      <c r="T167" s="48"/>
      <c r="U167" s="50"/>
      <c r="V167" s="48"/>
      <c r="W167" s="48"/>
      <c r="X167" s="16"/>
      <c r="Y167" s="16"/>
    </row>
    <row r="168" spans="18:25" ht="12.75">
      <c r="R168" s="487"/>
      <c r="S168" s="48"/>
      <c r="T168" s="48"/>
      <c r="U168" s="50"/>
      <c r="V168" s="48"/>
      <c r="W168" s="48"/>
      <c r="X168" s="16"/>
      <c r="Y168" s="16"/>
    </row>
    <row r="169" spans="18:25" ht="12.75">
      <c r="R169" s="487"/>
      <c r="S169" s="48"/>
      <c r="T169" s="48"/>
      <c r="U169" s="50"/>
      <c r="V169" s="48"/>
      <c r="W169" s="48"/>
      <c r="X169" s="16"/>
      <c r="Y169" s="16"/>
    </row>
    <row r="170" spans="18:25" ht="12.75">
      <c r="R170" s="487"/>
      <c r="S170" s="48"/>
      <c r="T170" s="48"/>
      <c r="U170" s="50"/>
      <c r="V170" s="48"/>
      <c r="W170" s="48"/>
      <c r="X170" s="16"/>
      <c r="Y170" s="16"/>
    </row>
    <row r="171" spans="18:25" ht="12.75">
      <c r="R171" s="487"/>
      <c r="S171" s="48"/>
      <c r="T171" s="48"/>
      <c r="U171" s="50"/>
      <c r="V171" s="48"/>
      <c r="W171" s="48"/>
      <c r="X171" s="16"/>
      <c r="Y171" s="16"/>
    </row>
    <row r="172" spans="18:25" ht="12.75">
      <c r="R172" s="487"/>
      <c r="S172" s="48"/>
      <c r="T172" s="48"/>
      <c r="U172" s="50"/>
      <c r="V172" s="48"/>
      <c r="W172" s="48"/>
      <c r="X172" s="16"/>
      <c r="Y172" s="16"/>
    </row>
    <row r="173" spans="18:25" ht="12.75">
      <c r="R173" s="487"/>
      <c r="S173" s="48"/>
      <c r="T173" s="48"/>
      <c r="U173" s="50"/>
      <c r="V173" s="48"/>
      <c r="W173" s="48"/>
      <c r="X173" s="16"/>
      <c r="Y173" s="16"/>
    </row>
    <row r="174" spans="18:25" ht="12.75">
      <c r="R174" s="487"/>
      <c r="S174" s="48"/>
      <c r="T174" s="48"/>
      <c r="U174" s="50"/>
      <c r="V174" s="48"/>
      <c r="W174" s="48"/>
      <c r="X174" s="16"/>
      <c r="Y174" s="16"/>
    </row>
    <row r="175" spans="18:25" ht="12.75">
      <c r="R175" s="487"/>
      <c r="S175" s="48"/>
      <c r="T175" s="48"/>
      <c r="U175" s="50"/>
      <c r="V175" s="48"/>
      <c r="W175" s="48"/>
      <c r="X175" s="16"/>
      <c r="Y175" s="16"/>
    </row>
    <row r="176" spans="18:25" ht="12.75">
      <c r="R176" s="487"/>
      <c r="S176" s="48"/>
      <c r="T176" s="48"/>
      <c r="U176" s="16"/>
      <c r="V176" s="50"/>
      <c r="W176" s="48"/>
      <c r="X176" s="16"/>
      <c r="Y176" s="16"/>
    </row>
    <row r="177" spans="18:25" ht="12.75">
      <c r="R177" s="487"/>
      <c r="S177" s="48"/>
      <c r="T177" s="48"/>
      <c r="U177" s="50"/>
      <c r="V177" s="48"/>
      <c r="W177" s="48"/>
      <c r="X177" s="16"/>
      <c r="Y177" s="16"/>
    </row>
    <row r="178" spans="18:25" ht="12.75">
      <c r="R178" s="487"/>
      <c r="S178" s="48"/>
      <c r="T178" s="48"/>
      <c r="U178" s="50"/>
      <c r="V178" s="48"/>
      <c r="W178" s="48"/>
      <c r="X178" s="16"/>
      <c r="Y178" s="16"/>
    </row>
    <row r="179" spans="18:25" ht="12.75">
      <c r="R179" s="487"/>
      <c r="S179" s="48"/>
      <c r="T179" s="48"/>
      <c r="U179" s="50"/>
      <c r="V179" s="48"/>
      <c r="W179" s="48"/>
      <c r="X179" s="16"/>
      <c r="Y179" s="16"/>
    </row>
    <row r="180" spans="18:25" ht="12.75">
      <c r="R180" s="487"/>
      <c r="S180" s="48"/>
      <c r="T180" s="48"/>
      <c r="U180" s="50"/>
      <c r="V180" s="48"/>
      <c r="W180" s="48"/>
      <c r="X180" s="16"/>
      <c r="Y180" s="16"/>
    </row>
    <row r="181" spans="18:25" ht="12.75">
      <c r="R181" s="487"/>
      <c r="S181" s="48"/>
      <c r="T181" s="48"/>
      <c r="U181" s="50"/>
      <c r="V181" s="48"/>
      <c r="W181" s="48"/>
      <c r="X181" s="16"/>
      <c r="Y181" s="16"/>
    </row>
    <row r="182" spans="18:25" ht="12.75">
      <c r="R182" s="487"/>
      <c r="S182" s="48"/>
      <c r="T182" s="48"/>
      <c r="U182" s="50"/>
      <c r="V182" s="48"/>
      <c r="W182" s="48"/>
      <c r="X182" s="16"/>
      <c r="Y182" s="16"/>
    </row>
    <row r="183" spans="18:25" ht="12.75">
      <c r="R183" s="487"/>
      <c r="S183" s="48"/>
      <c r="T183" s="48"/>
      <c r="U183" s="50"/>
      <c r="V183" s="48"/>
      <c r="W183" s="48"/>
      <c r="X183" s="16"/>
      <c r="Y183" s="16"/>
    </row>
    <row r="184" spans="18:25" ht="12.75">
      <c r="R184" s="487"/>
      <c r="S184" s="48"/>
      <c r="T184" s="48"/>
      <c r="U184" s="50"/>
      <c r="V184" s="48"/>
      <c r="W184" s="48"/>
      <c r="X184" s="16"/>
      <c r="Y184" s="16"/>
    </row>
    <row r="185" spans="18:25" ht="12.75">
      <c r="R185" s="487"/>
      <c r="S185" s="48"/>
      <c r="T185" s="48"/>
      <c r="U185" s="50"/>
      <c r="V185" s="48"/>
      <c r="W185" s="48"/>
      <c r="X185" s="16"/>
      <c r="Y185" s="16"/>
    </row>
    <row r="186" spans="18:25" ht="12.75">
      <c r="R186" s="487"/>
      <c r="S186" s="48"/>
      <c r="T186" s="48"/>
      <c r="U186" s="50"/>
      <c r="V186" s="48"/>
      <c r="W186" s="48"/>
      <c r="X186" s="16"/>
      <c r="Y186" s="16"/>
    </row>
    <row r="187" spans="18:25" ht="12.75">
      <c r="R187" s="487"/>
      <c r="S187" s="48"/>
      <c r="T187" s="48"/>
      <c r="U187" s="50"/>
      <c r="V187" s="48"/>
      <c r="W187" s="48"/>
      <c r="X187" s="16"/>
      <c r="Y187" s="16"/>
    </row>
    <row r="188" spans="18:25" ht="12.75">
      <c r="R188" s="487"/>
      <c r="S188" s="48"/>
      <c r="T188" s="48"/>
      <c r="U188" s="50"/>
      <c r="V188" s="48"/>
      <c r="W188" s="48"/>
      <c r="X188" s="16"/>
      <c r="Y188" s="16"/>
    </row>
    <row r="189" spans="18:25" ht="12.75">
      <c r="R189" s="487"/>
      <c r="S189" s="48"/>
      <c r="T189" s="48"/>
      <c r="U189" s="48"/>
      <c r="V189" s="48"/>
      <c r="W189" s="48"/>
      <c r="X189" s="16"/>
      <c r="Y189" s="16"/>
    </row>
    <row r="190" spans="18:25" ht="12.75">
      <c r="R190" s="496"/>
      <c r="S190" s="17"/>
      <c r="T190" s="17"/>
      <c r="U190" s="17"/>
      <c r="V190" s="17"/>
      <c r="W190" s="17"/>
      <c r="X190" s="17"/>
      <c r="Y190" s="16"/>
    </row>
    <row r="191" spans="18:25" ht="12.75">
      <c r="R191" s="496"/>
      <c r="S191" s="17"/>
      <c r="T191" s="17"/>
      <c r="U191" s="17"/>
      <c r="V191" s="17"/>
      <c r="W191" s="17"/>
      <c r="X191" s="17"/>
      <c r="Y191" s="16"/>
    </row>
    <row r="192" spans="19:20" ht="12.75">
      <c r="S192" s="16"/>
      <c r="T192" s="16"/>
    </row>
    <row r="193" spans="19:20" ht="12.75">
      <c r="S193" s="16"/>
      <c r="T193" s="16"/>
    </row>
    <row r="194" spans="19:20" ht="12.75">
      <c r="S194" s="16"/>
      <c r="T194" s="16"/>
    </row>
    <row r="195" spans="19:20" ht="12.75">
      <c r="S195" s="16"/>
      <c r="T195" s="16"/>
    </row>
    <row r="196" spans="19:20" ht="12.75">
      <c r="S196" s="16"/>
      <c r="T196" s="16"/>
    </row>
    <row r="197" spans="19:20" ht="12.75">
      <c r="S197" s="16"/>
      <c r="T197" s="16"/>
    </row>
    <row r="198" spans="19:20" ht="12.75">
      <c r="S198" s="16"/>
      <c r="T198" s="16"/>
    </row>
    <row r="199" spans="19:20" ht="12.75">
      <c r="S199" s="16"/>
      <c r="T199" s="16"/>
    </row>
    <row r="200" spans="19:20" ht="12.75">
      <c r="S200" s="16"/>
      <c r="T200" s="16"/>
    </row>
    <row r="201" spans="19:20" ht="12.75">
      <c r="S201" s="16"/>
      <c r="T201" s="16"/>
    </row>
    <row r="202" spans="19:20" ht="12.75">
      <c r="S202" s="16"/>
      <c r="T202" s="16"/>
    </row>
    <row r="203" spans="19:20" ht="12.75">
      <c r="S203" s="16"/>
      <c r="T203" s="16"/>
    </row>
    <row r="204" spans="19:20" ht="12.75">
      <c r="S204" s="16"/>
      <c r="T204" s="16"/>
    </row>
    <row r="205" spans="19:20" ht="12.75">
      <c r="S205" s="16"/>
      <c r="T205" s="16"/>
    </row>
    <row r="206" spans="19:20" ht="12.75">
      <c r="S206" s="16"/>
      <c r="T206" s="16"/>
    </row>
    <row r="207" spans="19:20" ht="12.75">
      <c r="S207" s="16"/>
      <c r="T207" s="16"/>
    </row>
    <row r="208" spans="19:20" ht="12.75">
      <c r="S208" s="16"/>
      <c r="T208" s="16"/>
    </row>
    <row r="209" spans="19:20" ht="12.75">
      <c r="S209" s="16"/>
      <c r="T209" s="16"/>
    </row>
    <row r="210" spans="19:20" ht="12.75">
      <c r="S210" s="16"/>
      <c r="T210" s="16"/>
    </row>
    <row r="211" spans="19:20" ht="12.75">
      <c r="S211" s="16"/>
      <c r="T211" s="16"/>
    </row>
    <row r="212" spans="19:20" ht="12.75">
      <c r="S212" s="16"/>
      <c r="T212" s="16"/>
    </row>
    <row r="213" spans="19:20" ht="12.75">
      <c r="S213" s="16"/>
      <c r="T213" s="16"/>
    </row>
    <row r="214" spans="19:20" ht="12.75">
      <c r="S214" s="16"/>
      <c r="T214" s="16"/>
    </row>
    <row r="215" spans="19:20" ht="12.75">
      <c r="S215" s="16"/>
      <c r="T215" s="16"/>
    </row>
    <row r="216" spans="19:20" ht="12.75">
      <c r="S216" s="16"/>
      <c r="T216" s="16"/>
    </row>
    <row r="217" spans="19:20" ht="12.75">
      <c r="S217" s="16"/>
      <c r="T217" s="16"/>
    </row>
    <row r="218" spans="19:20" ht="12.75">
      <c r="S218" s="16"/>
      <c r="T218" s="16"/>
    </row>
    <row r="219" spans="19:20" ht="12.75">
      <c r="S219" s="16"/>
      <c r="T219" s="16"/>
    </row>
    <row r="220" spans="19:20" ht="12.75">
      <c r="S220" s="16"/>
      <c r="T220" s="16"/>
    </row>
    <row r="221" spans="19:20" ht="12.75">
      <c r="S221" s="16"/>
      <c r="T221" s="16"/>
    </row>
    <row r="222" spans="19:20" ht="12.75">
      <c r="S222" s="16"/>
      <c r="T222" s="16"/>
    </row>
    <row r="223" spans="19:20" ht="12.75">
      <c r="S223" s="16"/>
      <c r="T223" s="16"/>
    </row>
    <row r="224" spans="19:20" ht="12.75">
      <c r="S224" s="16"/>
      <c r="T224" s="16"/>
    </row>
    <row r="225" spans="19:20" ht="12.75">
      <c r="S225" s="16"/>
      <c r="T225" s="16"/>
    </row>
    <row r="226" spans="19:20" ht="12.75">
      <c r="S226" s="16"/>
      <c r="T226" s="16"/>
    </row>
    <row r="227" spans="19:20" ht="12.75">
      <c r="S227" s="16"/>
      <c r="T227" s="16"/>
    </row>
    <row r="228" spans="19:20" ht="12.75">
      <c r="S228" s="16"/>
      <c r="T228" s="16"/>
    </row>
    <row r="229" spans="19:20" ht="12.75">
      <c r="S229" s="16"/>
      <c r="T229" s="16"/>
    </row>
    <row r="230" spans="19:20" ht="12.75">
      <c r="S230" s="16"/>
      <c r="T230" s="16"/>
    </row>
    <row r="231" spans="19:20" ht="12.75">
      <c r="S231" s="16"/>
      <c r="T231" s="16"/>
    </row>
  </sheetData>
  <mergeCells count="4">
    <mergeCell ref="P28:Q28"/>
    <mergeCell ref="H25:I25"/>
    <mergeCell ref="L28:N28"/>
    <mergeCell ref="J28:K28"/>
  </mergeCells>
  <printOptions/>
  <pageMargins left="0.75" right="0.75" top="1" bottom="1" header="0" footer="0"/>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1:Y231"/>
  <sheetViews>
    <sheetView workbookViewId="0" topLeftCell="A1">
      <selection activeCell="G19" sqref="G19"/>
    </sheetView>
  </sheetViews>
  <sheetFormatPr defaultColWidth="11.421875" defaultRowHeight="12.75"/>
  <cols>
    <col min="1" max="1" width="5.421875" style="368" customWidth="1"/>
    <col min="2" max="2" width="11.421875" style="368" customWidth="1"/>
    <col min="3" max="3" width="8.28125" style="368" customWidth="1"/>
    <col min="4" max="4" width="6.57421875" style="368" customWidth="1"/>
    <col min="5" max="5" width="6.8515625" style="368" customWidth="1"/>
    <col min="6" max="6" width="11.421875" style="368" customWidth="1"/>
    <col min="7" max="7" width="7.7109375" style="368" customWidth="1"/>
    <col min="8" max="8" width="7.140625" style="368" customWidth="1"/>
    <col min="9" max="14" width="11.421875" style="368" customWidth="1"/>
    <col min="15" max="17" width="8.28125" style="368" customWidth="1"/>
    <col min="18" max="18" width="11.421875" style="368" customWidth="1"/>
    <col min="19" max="19" width="9.00390625" style="0" customWidth="1"/>
    <col min="20" max="20" width="8.28125" style="0" customWidth="1"/>
    <col min="21" max="21" width="11.00390625" style="0" customWidth="1"/>
    <col min="22" max="28" width="4.7109375" style="0" customWidth="1"/>
  </cols>
  <sheetData>
    <row r="1" spans="1:18" s="13" customFormat="1" ht="18.75" thickBot="1">
      <c r="A1" s="389"/>
      <c r="B1" s="397" t="s">
        <v>580</v>
      </c>
      <c r="C1" s="398"/>
      <c r="D1" s="398"/>
      <c r="E1" s="398"/>
      <c r="F1" s="398"/>
      <c r="G1" s="398"/>
      <c r="H1" s="398"/>
      <c r="I1" s="398"/>
      <c r="J1" s="398"/>
      <c r="K1" s="398"/>
      <c r="L1" s="398"/>
      <c r="M1" s="398"/>
      <c r="N1" s="398"/>
      <c r="O1" s="398"/>
      <c r="P1" s="398"/>
      <c r="Q1" s="398"/>
      <c r="R1" s="398"/>
    </row>
    <row r="2" spans="1:18" s="16" customFormat="1" ht="18">
      <c r="A2" s="390"/>
      <c r="B2" s="399"/>
      <c r="C2" s="390"/>
      <c r="D2" s="390"/>
      <c r="E2" s="390"/>
      <c r="F2" s="390"/>
      <c r="G2" s="390"/>
      <c r="H2" s="390"/>
      <c r="I2" s="390"/>
      <c r="J2" s="390"/>
      <c r="K2" s="390"/>
      <c r="L2" s="390"/>
      <c r="M2" s="390"/>
      <c r="N2" s="390"/>
      <c r="O2" s="390"/>
      <c r="P2" s="390"/>
      <c r="Q2" s="390"/>
      <c r="R2" s="390"/>
    </row>
    <row r="3" spans="13:24" ht="20.25">
      <c r="M3" s="110"/>
      <c r="N3" s="447"/>
      <c r="O3" s="447"/>
      <c r="P3" s="447"/>
      <c r="Q3" s="447"/>
      <c r="R3" s="447"/>
      <c r="S3" s="63"/>
      <c r="T3" s="63"/>
      <c r="U3" s="14"/>
      <c r="V3" s="14"/>
      <c r="W3" s="14"/>
      <c r="X3" s="14"/>
    </row>
    <row r="4" spans="13:24" ht="12.75">
      <c r="M4" s="390"/>
      <c r="N4" s="390"/>
      <c r="O4" s="390"/>
      <c r="P4" s="390"/>
      <c r="Q4" s="390"/>
      <c r="R4" s="390"/>
      <c r="S4" s="130"/>
      <c r="T4" s="130"/>
      <c r="U4" s="14"/>
      <c r="V4" s="14"/>
      <c r="W4" s="14"/>
      <c r="X4" s="14"/>
    </row>
    <row r="5" spans="2:24" ht="15.75">
      <c r="B5" s="129" t="s">
        <v>161</v>
      </c>
      <c r="F5" s="400"/>
      <c r="G5" s="400"/>
      <c r="H5" s="129" t="s">
        <v>165</v>
      </c>
      <c r="K5" s="401"/>
      <c r="L5" s="401"/>
      <c r="M5" s="390"/>
      <c r="N5" s="390"/>
      <c r="O5" s="390"/>
      <c r="P5" s="390"/>
      <c r="Q5" s="390"/>
      <c r="R5" s="390"/>
      <c r="S5" s="130"/>
      <c r="T5" s="130"/>
      <c r="U5" s="14"/>
      <c r="V5" s="14"/>
      <c r="W5" s="14"/>
      <c r="X5" s="14"/>
    </row>
    <row r="6" spans="2:20" ht="13.5" thickBot="1">
      <c r="B6" s="111"/>
      <c r="C6" s="111"/>
      <c r="D6" s="405"/>
      <c r="E6" s="405"/>
      <c r="F6" s="405"/>
      <c r="G6" s="405"/>
      <c r="H6" s="390"/>
      <c r="I6" s="401"/>
      <c r="J6" s="401"/>
      <c r="K6" s="401"/>
      <c r="L6" s="401"/>
      <c r="M6" s="390"/>
      <c r="N6" s="390"/>
      <c r="O6" s="390"/>
      <c r="P6" s="390"/>
      <c r="Q6" s="390"/>
      <c r="R6" s="390"/>
      <c r="S6" s="130"/>
      <c r="T6" s="130"/>
    </row>
    <row r="7" spans="2:20" ht="13.5" thickBot="1">
      <c r="B7" s="111" t="s">
        <v>163</v>
      </c>
      <c r="C7" s="111"/>
      <c r="D7" s="113"/>
      <c r="E7" s="448" t="s">
        <v>164</v>
      </c>
      <c r="F7" s="113"/>
      <c r="G7" s="401"/>
      <c r="H7" s="720" t="s">
        <v>61</v>
      </c>
      <c r="I7" s="721"/>
      <c r="J7" s="460" t="s">
        <v>0</v>
      </c>
      <c r="K7" s="401"/>
      <c r="L7" s="401"/>
      <c r="M7" s="390"/>
      <c r="N7" s="390"/>
      <c r="O7" s="390"/>
      <c r="P7" s="390"/>
      <c r="Q7" s="390"/>
      <c r="R7" s="390"/>
      <c r="S7" s="130"/>
      <c r="T7" s="130"/>
    </row>
    <row r="8" spans="2:20" ht="13.5" thickBot="1">
      <c r="B8" s="351" t="s">
        <v>162</v>
      </c>
      <c r="C8" s="381" t="s">
        <v>0</v>
      </c>
      <c r="D8" s="390"/>
      <c r="E8" s="381" t="s">
        <v>162</v>
      </c>
      <c r="F8" s="371" t="s">
        <v>0</v>
      </c>
      <c r="G8" s="390"/>
      <c r="H8" s="718" t="s">
        <v>64</v>
      </c>
      <c r="I8" s="719"/>
      <c r="J8" s="515">
        <v>5</v>
      </c>
      <c r="M8" s="390"/>
      <c r="N8" s="390"/>
      <c r="O8" s="390"/>
      <c r="P8" s="390"/>
      <c r="Q8" s="390"/>
      <c r="R8" s="390"/>
      <c r="S8" s="130"/>
      <c r="T8" s="130"/>
    </row>
    <row r="9" spans="2:20" ht="13.5" thickBot="1">
      <c r="B9" s="349">
        <v>10</v>
      </c>
      <c r="C9" s="387">
        <v>0.663</v>
      </c>
      <c r="D9" s="390"/>
      <c r="E9" s="349">
        <v>10</v>
      </c>
      <c r="F9" s="387">
        <v>0.885</v>
      </c>
      <c r="G9" s="390"/>
      <c r="H9" s="742" t="s">
        <v>66</v>
      </c>
      <c r="I9" s="743"/>
      <c r="J9" s="516">
        <v>4.857142857142857</v>
      </c>
      <c r="S9" s="130"/>
      <c r="T9" s="130"/>
    </row>
    <row r="10" spans="2:20" ht="13.5" thickBot="1">
      <c r="B10" s="349">
        <v>9</v>
      </c>
      <c r="C10" s="387">
        <v>0.658</v>
      </c>
      <c r="D10" s="390"/>
      <c r="E10" s="349">
        <v>9</v>
      </c>
      <c r="F10" s="387">
        <v>0.882</v>
      </c>
      <c r="G10" s="390"/>
      <c r="H10" s="742" t="s">
        <v>67</v>
      </c>
      <c r="I10" s="743"/>
      <c r="J10" s="516">
        <v>4.571428571428572</v>
      </c>
      <c r="S10" s="130"/>
      <c r="T10" s="130"/>
    </row>
    <row r="11" spans="2:20" ht="13.5" thickBot="1">
      <c r="B11" s="349">
        <v>8</v>
      </c>
      <c r="C11" s="387">
        <v>0.654</v>
      </c>
      <c r="D11" s="390"/>
      <c r="E11" s="349">
        <v>8</v>
      </c>
      <c r="F11" s="387">
        <v>0.878</v>
      </c>
      <c r="G11" s="390"/>
      <c r="H11" s="742" t="s">
        <v>68</v>
      </c>
      <c r="I11" s="743"/>
      <c r="J11" s="516">
        <v>4.2857142857142865</v>
      </c>
      <c r="S11" s="130"/>
      <c r="T11" s="130"/>
    </row>
    <row r="12" spans="2:20" ht="13.5" thickBot="1">
      <c r="B12" s="349">
        <v>7</v>
      </c>
      <c r="C12" s="387">
        <v>0.646</v>
      </c>
      <c r="D12" s="390"/>
      <c r="E12" s="349">
        <v>7</v>
      </c>
      <c r="F12" s="387">
        <v>0.872</v>
      </c>
      <c r="G12" s="405"/>
      <c r="H12" s="742" t="s">
        <v>69</v>
      </c>
      <c r="I12" s="743"/>
      <c r="J12" s="516">
        <v>4.142857142857144</v>
      </c>
      <c r="S12" s="130"/>
      <c r="T12" s="130"/>
    </row>
    <row r="13" spans="2:20" ht="13.5" thickBot="1">
      <c r="B13" s="349">
        <v>6</v>
      </c>
      <c r="C13" s="387">
        <v>0.638</v>
      </c>
      <c r="D13" s="390"/>
      <c r="E13" s="349">
        <v>6</v>
      </c>
      <c r="F13" s="387">
        <v>0.865</v>
      </c>
      <c r="G13" s="415"/>
      <c r="H13" s="742">
        <v>6</v>
      </c>
      <c r="I13" s="743"/>
      <c r="J13" s="516">
        <v>4</v>
      </c>
      <c r="S13" s="130"/>
      <c r="T13" s="130"/>
    </row>
    <row r="14" spans="2:20" ht="13.5" thickBot="1">
      <c r="B14" s="349">
        <v>5</v>
      </c>
      <c r="C14" s="387">
        <v>0.613</v>
      </c>
      <c r="D14" s="390"/>
      <c r="E14" s="349">
        <v>5</v>
      </c>
      <c r="F14" s="387">
        <v>0.844</v>
      </c>
      <c r="G14" s="415"/>
      <c r="H14" s="742" t="s">
        <v>70</v>
      </c>
      <c r="I14" s="743"/>
      <c r="J14" s="516">
        <v>3.857142857142857</v>
      </c>
      <c r="S14" s="130"/>
      <c r="T14" s="130"/>
    </row>
    <row r="15" spans="2:20" ht="13.5" thickBot="1">
      <c r="B15" s="349">
        <v>4</v>
      </c>
      <c r="C15" s="387">
        <v>0.546</v>
      </c>
      <c r="D15" s="390"/>
      <c r="E15" s="349">
        <v>4</v>
      </c>
      <c r="F15" s="387">
        <v>0.785</v>
      </c>
      <c r="G15" s="415"/>
      <c r="H15" s="742" t="s">
        <v>71</v>
      </c>
      <c r="I15" s="743"/>
      <c r="J15" s="516">
        <v>3.761904761904762</v>
      </c>
      <c r="S15" s="130"/>
      <c r="T15" s="130"/>
    </row>
    <row r="16" spans="2:20" ht="13.5" thickBot="1">
      <c r="B16" s="349">
        <v>3</v>
      </c>
      <c r="C16" s="387">
        <v>0.492</v>
      </c>
      <c r="D16" s="390"/>
      <c r="E16" s="349">
        <v>3</v>
      </c>
      <c r="F16" s="387">
        <v>0.736</v>
      </c>
      <c r="G16" s="415"/>
      <c r="H16" s="742" t="s">
        <v>72</v>
      </c>
      <c r="I16" s="743"/>
      <c r="J16" s="516">
        <v>3.4285714285714284</v>
      </c>
      <c r="S16" s="130"/>
      <c r="T16" s="130"/>
    </row>
    <row r="17" spans="2:20" ht="13.5" thickBot="1">
      <c r="B17" s="349">
        <v>2</v>
      </c>
      <c r="C17" s="387">
        <v>0.45</v>
      </c>
      <c r="D17" s="390"/>
      <c r="E17" s="349">
        <v>2</v>
      </c>
      <c r="F17" s="387">
        <v>0.69</v>
      </c>
      <c r="G17" s="415"/>
      <c r="H17" s="742">
        <v>5</v>
      </c>
      <c r="I17" s="743"/>
      <c r="J17" s="516">
        <v>3.142857142857143</v>
      </c>
      <c r="S17" s="130"/>
      <c r="T17" s="130"/>
    </row>
    <row r="18" spans="2:20" ht="13.5" thickBot="1">
      <c r="B18" s="349">
        <v>1</v>
      </c>
      <c r="C18" s="387">
        <v>0.346</v>
      </c>
      <c r="D18" s="390"/>
      <c r="E18" s="349">
        <v>1</v>
      </c>
      <c r="F18" s="387">
        <v>0.57</v>
      </c>
      <c r="G18" s="415"/>
      <c r="H18" s="742" t="s">
        <v>76</v>
      </c>
      <c r="I18" s="743"/>
      <c r="J18" s="516">
        <v>2.7619047619047623</v>
      </c>
      <c r="S18" s="130"/>
      <c r="T18" s="130"/>
    </row>
    <row r="19" spans="4:20" ht="12.75">
      <c r="D19" s="390"/>
      <c r="G19" s="415"/>
      <c r="H19" s="742">
        <v>4</v>
      </c>
      <c r="I19" s="743"/>
      <c r="J19" s="516">
        <v>2.571428571428571</v>
      </c>
      <c r="S19" s="130"/>
      <c r="T19" s="130"/>
    </row>
    <row r="20" spans="4:20" ht="12.75">
      <c r="D20" s="390"/>
      <c r="G20" s="415"/>
      <c r="H20" s="742" t="s">
        <v>79</v>
      </c>
      <c r="I20" s="743"/>
      <c r="J20" s="516">
        <v>2.5714285714285716</v>
      </c>
      <c r="S20" s="130"/>
      <c r="T20" s="130"/>
    </row>
    <row r="21" spans="4:20" ht="12.75">
      <c r="D21" s="390"/>
      <c r="G21" s="415"/>
      <c r="H21" s="742" t="s">
        <v>80</v>
      </c>
      <c r="I21" s="743"/>
      <c r="J21" s="516">
        <v>2</v>
      </c>
      <c r="S21" s="130"/>
      <c r="T21" s="130"/>
    </row>
    <row r="22" spans="4:20" ht="12.75">
      <c r="D22" s="390"/>
      <c r="G22" s="415"/>
      <c r="H22" s="742">
        <v>3</v>
      </c>
      <c r="I22" s="743"/>
      <c r="J22" s="516">
        <v>1.7142857142857142</v>
      </c>
      <c r="S22" s="130"/>
      <c r="T22" s="130"/>
    </row>
    <row r="23" spans="4:20" ht="12.75">
      <c r="D23" s="390"/>
      <c r="G23" s="415"/>
      <c r="H23" s="742">
        <v>2</v>
      </c>
      <c r="I23" s="743"/>
      <c r="J23" s="516">
        <v>1.142857142857143</v>
      </c>
      <c r="S23" s="130"/>
      <c r="T23" s="130"/>
    </row>
    <row r="24" spans="4:20" ht="12.75">
      <c r="D24" s="390"/>
      <c r="G24" s="401"/>
      <c r="H24" s="742" t="s">
        <v>82</v>
      </c>
      <c r="I24" s="743"/>
      <c r="J24" s="516">
        <v>1.0476190476190477</v>
      </c>
      <c r="S24" s="130"/>
      <c r="T24" s="130"/>
    </row>
    <row r="25" spans="4:21" ht="13.5" thickBot="1">
      <c r="D25" s="390"/>
      <c r="G25" s="415"/>
      <c r="H25" s="733">
        <v>1</v>
      </c>
      <c r="I25" s="734"/>
      <c r="J25" s="459">
        <v>0.5714285714285715</v>
      </c>
      <c r="S25" s="130"/>
      <c r="T25" s="130"/>
      <c r="U25" s="1"/>
    </row>
    <row r="26" spans="4:20" ht="12.75">
      <c r="D26" s="390"/>
      <c r="G26" s="415"/>
      <c r="S26" s="130"/>
      <c r="T26" s="130"/>
    </row>
    <row r="27" spans="19:20" ht="13.5" thickBot="1">
      <c r="S27" s="130"/>
      <c r="T27" s="130"/>
    </row>
    <row r="28" spans="1:20" ht="16.5" thickBot="1">
      <c r="A28" s="391"/>
      <c r="B28" s="416" t="s">
        <v>11</v>
      </c>
      <c r="C28" s="417" t="s">
        <v>17</v>
      </c>
      <c r="D28" s="418"/>
      <c r="E28" s="418"/>
      <c r="F28" s="418"/>
      <c r="G28" s="418"/>
      <c r="H28" s="419"/>
      <c r="J28" s="738" t="s">
        <v>167</v>
      </c>
      <c r="K28" s="732"/>
      <c r="L28" s="735" t="s">
        <v>117</v>
      </c>
      <c r="M28" s="736"/>
      <c r="N28" s="737"/>
      <c r="O28" s="381" t="s">
        <v>171</v>
      </c>
      <c r="P28" s="731" t="s">
        <v>174</v>
      </c>
      <c r="Q28" s="732"/>
      <c r="S28" s="130"/>
      <c r="T28" s="130"/>
    </row>
    <row r="29" spans="1:20" ht="13.5" thickBot="1">
      <c r="A29" s="389"/>
      <c r="B29" s="398"/>
      <c r="C29" s="398"/>
      <c r="D29" s="398"/>
      <c r="E29" s="398"/>
      <c r="F29" s="398"/>
      <c r="G29" s="398"/>
      <c r="H29" s="398"/>
      <c r="I29" s="420" t="s">
        <v>166</v>
      </c>
      <c r="J29" s="351" t="s">
        <v>168</v>
      </c>
      <c r="K29" s="460" t="s">
        <v>121</v>
      </c>
      <c r="L29" s="463" t="s">
        <v>118</v>
      </c>
      <c r="M29" s="429" t="s">
        <v>170</v>
      </c>
      <c r="N29" s="457" t="s">
        <v>116</v>
      </c>
      <c r="O29" s="429" t="s">
        <v>175</v>
      </c>
      <c r="P29" s="480" t="s">
        <v>176</v>
      </c>
      <c r="Q29" s="481" t="s">
        <v>175</v>
      </c>
      <c r="S29" s="130"/>
      <c r="T29" s="130"/>
    </row>
    <row r="30" spans="1:20" ht="13.5" thickBot="1">
      <c r="A30" s="392"/>
      <c r="B30" s="421" t="s">
        <v>12</v>
      </c>
      <c r="C30" s="422"/>
      <c r="D30" s="422"/>
      <c r="E30" s="422"/>
      <c r="F30" s="422"/>
      <c r="G30" s="422"/>
      <c r="H30" s="423"/>
      <c r="I30" s="350">
        <f>SUM(I31:I76)</f>
        <v>0</v>
      </c>
      <c r="J30" s="350"/>
      <c r="K30" s="350">
        <f>SUM(K31:K76)</f>
        <v>0</v>
      </c>
      <c r="L30" s="459"/>
      <c r="M30" s="459"/>
      <c r="N30" s="466">
        <f>SUM(N31:N76)</f>
        <v>0</v>
      </c>
      <c r="O30" s="466">
        <f>SUM(O31:O76)</f>
        <v>0</v>
      </c>
      <c r="P30" s="466"/>
      <c r="Q30" s="466">
        <f>SUM(Q31:Q76)</f>
        <v>0</v>
      </c>
      <c r="S30" s="130"/>
      <c r="T30" s="130"/>
    </row>
    <row r="31" spans="1:20" ht="15.75">
      <c r="A31" s="393">
        <v>1</v>
      </c>
      <c r="B31" s="426" t="s">
        <v>248</v>
      </c>
      <c r="C31" s="390"/>
      <c r="D31" s="390"/>
      <c r="I31" s="425"/>
      <c r="J31" s="425"/>
      <c r="K31" s="425"/>
      <c r="L31" s="467"/>
      <c r="M31" s="467"/>
      <c r="N31" s="468"/>
      <c r="O31" s="469"/>
      <c r="P31" s="482"/>
      <c r="Q31" s="483"/>
      <c r="S31" s="130"/>
      <c r="T31" s="130"/>
    </row>
    <row r="32" spans="1:20" ht="15.75">
      <c r="A32" s="393"/>
      <c r="B32" s="426"/>
      <c r="C32" s="390" t="s">
        <v>495</v>
      </c>
      <c r="D32" s="390"/>
      <c r="I32" s="425">
        <f>'CUARTEL GENERAL'!E5+'CUARTEL GENERAL'!E6</f>
        <v>0</v>
      </c>
      <c r="J32" s="425">
        <f>4+'CUARTEL GENERAL'!E6</f>
        <v>4</v>
      </c>
      <c r="K32" s="425">
        <f>(J32*(I32))</f>
        <v>0</v>
      </c>
      <c r="L32" s="467">
        <f>J13</f>
        <v>4</v>
      </c>
      <c r="M32" s="467">
        <f>C14</f>
        <v>0.613</v>
      </c>
      <c r="N32" s="468">
        <f aca="true" t="shared" si="0" ref="N32:N44">K32*L32*M32</f>
        <v>0</v>
      </c>
      <c r="O32" s="470">
        <f>N32</f>
        <v>0</v>
      </c>
      <c r="P32" s="482">
        <v>5</v>
      </c>
      <c r="Q32" s="484">
        <f aca="true" t="shared" si="1" ref="Q32:Q44">P32*K32</f>
        <v>0</v>
      </c>
      <c r="S32" s="130"/>
      <c r="T32" s="130"/>
    </row>
    <row r="33" spans="1:20" ht="15.75">
      <c r="A33" s="393"/>
      <c r="B33" s="426"/>
      <c r="C33" s="390" t="s">
        <v>493</v>
      </c>
      <c r="D33" s="390"/>
      <c r="I33" s="425"/>
      <c r="J33" s="425">
        <v>1</v>
      </c>
      <c r="K33" s="425">
        <f>J33*(I32)</f>
        <v>0</v>
      </c>
      <c r="L33" s="467">
        <f>J13</f>
        <v>4</v>
      </c>
      <c r="M33" s="467">
        <f>F14</f>
        <v>0.844</v>
      </c>
      <c r="N33" s="468">
        <f t="shared" si="0"/>
        <v>0</v>
      </c>
      <c r="O33" s="470">
        <f>N33</f>
        <v>0</v>
      </c>
      <c r="P33" s="482">
        <v>5</v>
      </c>
      <c r="Q33" s="484">
        <f t="shared" si="1"/>
        <v>0</v>
      </c>
      <c r="S33" s="130"/>
      <c r="T33" s="130"/>
    </row>
    <row r="34" spans="1:20" ht="15.75">
      <c r="A34" s="393">
        <v>2</v>
      </c>
      <c r="B34" s="426" t="s">
        <v>249</v>
      </c>
      <c r="C34" s="390"/>
      <c r="D34" s="390"/>
      <c r="I34" s="425"/>
      <c r="J34" s="425"/>
      <c r="K34" s="425"/>
      <c r="L34" s="467"/>
      <c r="M34" s="467"/>
      <c r="N34" s="468"/>
      <c r="O34" s="470"/>
      <c r="P34" s="482"/>
      <c r="Q34" s="484"/>
      <c r="S34" s="130"/>
      <c r="T34" s="130"/>
    </row>
    <row r="35" spans="1:20" ht="15.75">
      <c r="A35" s="393"/>
      <c r="B35" s="426"/>
      <c r="C35" s="390" t="s">
        <v>494</v>
      </c>
      <c r="D35" s="390"/>
      <c r="I35" s="425">
        <f>'CUARTEL GENERAL'!E22+'CUARTEL GENERAL'!E23+'CUARTEL GENERAL'!K75</f>
        <v>0</v>
      </c>
      <c r="J35" s="425">
        <f>3+'CUARTEL GENERAL'!E23</f>
        <v>3</v>
      </c>
      <c r="K35" s="425">
        <f>J35*(I35)</f>
        <v>0</v>
      </c>
      <c r="L35" s="467">
        <f>J19</f>
        <v>2.571428571428571</v>
      </c>
      <c r="M35" s="467">
        <f>C14</f>
        <v>0.613</v>
      </c>
      <c r="N35" s="468">
        <f t="shared" si="0"/>
        <v>0</v>
      </c>
      <c r="O35" s="470">
        <f>N35</f>
        <v>0</v>
      </c>
      <c r="P35" s="482">
        <v>5</v>
      </c>
      <c r="Q35" s="484">
        <f t="shared" si="1"/>
        <v>0</v>
      </c>
      <c r="S35" s="130"/>
      <c r="T35" s="130"/>
    </row>
    <row r="36" spans="1:20" ht="15.75">
      <c r="A36" s="393"/>
      <c r="B36" s="426"/>
      <c r="C36" s="390"/>
      <c r="D36" s="390"/>
      <c r="I36" s="425"/>
      <c r="J36" s="425">
        <v>1</v>
      </c>
      <c r="K36" s="425">
        <f>J36*(I35)</f>
        <v>0</v>
      </c>
      <c r="L36" s="467">
        <f>J19</f>
        <v>2.571428571428571</v>
      </c>
      <c r="M36" s="467">
        <f>F14</f>
        <v>0.844</v>
      </c>
      <c r="N36" s="468">
        <f t="shared" si="0"/>
        <v>0</v>
      </c>
      <c r="O36" s="470">
        <f>N36</f>
        <v>0</v>
      </c>
      <c r="P36" s="482">
        <v>5</v>
      </c>
      <c r="Q36" s="484">
        <f t="shared" si="1"/>
        <v>0</v>
      </c>
      <c r="S36" s="130"/>
      <c r="T36" s="130"/>
    </row>
    <row r="37" spans="1:20" ht="15.75">
      <c r="A37" s="393">
        <v>3</v>
      </c>
      <c r="B37" s="426" t="s">
        <v>250</v>
      </c>
      <c r="C37" s="390"/>
      <c r="D37" s="390"/>
      <c r="I37" s="425"/>
      <c r="J37" s="425"/>
      <c r="K37" s="425"/>
      <c r="L37" s="467"/>
      <c r="M37" s="467"/>
      <c r="N37" s="468"/>
      <c r="O37" s="470"/>
      <c r="P37" s="482"/>
      <c r="Q37" s="484"/>
      <c r="S37" s="130"/>
      <c r="T37" s="130"/>
    </row>
    <row r="38" spans="1:20" ht="15.75">
      <c r="A38" s="393"/>
      <c r="B38" s="426"/>
      <c r="C38" s="390" t="s">
        <v>500</v>
      </c>
      <c r="D38" s="390"/>
      <c r="I38" s="425">
        <f>'CUARTEL GENERAL'!E12</f>
        <v>0</v>
      </c>
      <c r="J38" s="425">
        <f>2+'CUARTEL GENERAL'!E13</f>
        <v>2</v>
      </c>
      <c r="K38" s="425">
        <f>J38*(I38)</f>
        <v>0</v>
      </c>
      <c r="L38" s="467">
        <f>J19</f>
        <v>2.571428571428571</v>
      </c>
      <c r="M38" s="467">
        <f>C14</f>
        <v>0.613</v>
      </c>
      <c r="N38" s="468">
        <f t="shared" si="0"/>
        <v>0</v>
      </c>
      <c r="O38" s="470">
        <f>N38</f>
        <v>0</v>
      </c>
      <c r="P38" s="482">
        <v>5</v>
      </c>
      <c r="Q38" s="484">
        <f t="shared" si="1"/>
        <v>0</v>
      </c>
      <c r="S38" s="130"/>
      <c r="T38" s="130"/>
    </row>
    <row r="39" spans="1:20" ht="15.75">
      <c r="A39" s="393"/>
      <c r="B39" s="426"/>
      <c r="C39" s="390" t="s">
        <v>501</v>
      </c>
      <c r="D39" s="390"/>
      <c r="I39" s="425"/>
      <c r="J39" s="425">
        <v>1</v>
      </c>
      <c r="K39" s="425">
        <f>J39*(I38)</f>
        <v>0</v>
      </c>
      <c r="L39" s="467">
        <f>J19</f>
        <v>2.571428571428571</v>
      </c>
      <c r="M39" s="467">
        <f>F14</f>
        <v>0.844</v>
      </c>
      <c r="N39" s="468">
        <f t="shared" si="0"/>
        <v>0</v>
      </c>
      <c r="O39" s="470"/>
      <c r="P39" s="482"/>
      <c r="Q39" s="484"/>
      <c r="S39" s="130"/>
      <c r="T39" s="130"/>
    </row>
    <row r="40" spans="1:20" ht="15.75">
      <c r="A40" s="393"/>
      <c r="B40" s="426"/>
      <c r="C40" s="390" t="s">
        <v>490</v>
      </c>
      <c r="D40" s="390"/>
      <c r="I40" s="425">
        <f>'CUARTEL GENERAL'!E11</f>
        <v>0</v>
      </c>
      <c r="J40" s="425">
        <f>4+'CUARTEL GENERAL'!E13</f>
        <v>4</v>
      </c>
      <c r="K40" s="425">
        <f>J40*(I40)</f>
        <v>0</v>
      </c>
      <c r="L40" s="467">
        <f>J15</f>
        <v>3.761904761904762</v>
      </c>
      <c r="M40" s="467">
        <f>C14</f>
        <v>0.613</v>
      </c>
      <c r="N40" s="468">
        <f t="shared" si="0"/>
        <v>0</v>
      </c>
      <c r="O40" s="470">
        <f>N40</f>
        <v>0</v>
      </c>
      <c r="P40" s="482">
        <v>5</v>
      </c>
      <c r="Q40" s="484">
        <f t="shared" si="1"/>
        <v>0</v>
      </c>
      <c r="S40" s="130"/>
      <c r="T40" s="130"/>
    </row>
    <row r="41" spans="1:20" ht="15.75">
      <c r="A41" s="393"/>
      <c r="B41" s="426"/>
      <c r="C41" s="390" t="s">
        <v>169</v>
      </c>
      <c r="D41" s="390"/>
      <c r="I41" s="425">
        <f>'CUARTEL GENERAL'!E10</f>
        <v>0</v>
      </c>
      <c r="J41" s="425">
        <f>3+'CUARTEL GENERAL'!E13</f>
        <v>3</v>
      </c>
      <c r="K41" s="425">
        <f>J41*(I41)</f>
        <v>0</v>
      </c>
      <c r="L41" s="467">
        <f>J11</f>
        <v>4.2857142857142865</v>
      </c>
      <c r="M41" s="467">
        <f>C14</f>
        <v>0.613</v>
      </c>
      <c r="N41" s="468">
        <f t="shared" si="0"/>
        <v>0</v>
      </c>
      <c r="O41" s="470">
        <f>N41</f>
        <v>0</v>
      </c>
      <c r="P41" s="482">
        <v>1</v>
      </c>
      <c r="Q41" s="484">
        <f t="shared" si="1"/>
        <v>0</v>
      </c>
      <c r="S41" s="130"/>
      <c r="T41" s="130"/>
    </row>
    <row r="42" spans="1:20" ht="15.75">
      <c r="A42" s="393">
        <v>4</v>
      </c>
      <c r="B42" s="426" t="s">
        <v>253</v>
      </c>
      <c r="C42" s="390"/>
      <c r="D42" s="390"/>
      <c r="I42" s="425"/>
      <c r="J42" s="425"/>
      <c r="K42" s="425"/>
      <c r="L42" s="467"/>
      <c r="M42" s="467"/>
      <c r="N42" s="468"/>
      <c r="O42" s="470"/>
      <c r="P42" s="482"/>
      <c r="Q42" s="484"/>
      <c r="S42" s="130"/>
      <c r="T42" s="130"/>
    </row>
    <row r="43" spans="1:20" ht="15.75">
      <c r="A43" s="393"/>
      <c r="B43" s="426"/>
      <c r="C43" s="390" t="s">
        <v>500</v>
      </c>
      <c r="D43" s="390"/>
      <c r="I43" s="425">
        <f>'CUARTEL GENERAL'!E17</f>
        <v>0</v>
      </c>
      <c r="J43" s="425">
        <f>3</f>
        <v>3</v>
      </c>
      <c r="K43" s="425">
        <f>J43*(I43)</f>
        <v>0</v>
      </c>
      <c r="L43" s="467">
        <f>J19</f>
        <v>2.571428571428571</v>
      </c>
      <c r="M43" s="467">
        <f>C14</f>
        <v>0.613</v>
      </c>
      <c r="N43" s="468">
        <f t="shared" si="0"/>
        <v>0</v>
      </c>
      <c r="O43" s="470">
        <f>N43</f>
        <v>0</v>
      </c>
      <c r="P43" s="482">
        <v>5</v>
      </c>
      <c r="Q43" s="484">
        <f t="shared" si="1"/>
        <v>0</v>
      </c>
      <c r="S43" s="130"/>
      <c r="T43" s="130"/>
    </row>
    <row r="44" spans="1:20" ht="15.75">
      <c r="A44" s="393"/>
      <c r="B44" s="426"/>
      <c r="C44" s="390" t="s">
        <v>501</v>
      </c>
      <c r="D44" s="390"/>
      <c r="I44" s="425"/>
      <c r="J44" s="425">
        <v>1</v>
      </c>
      <c r="K44" s="425">
        <f>J44*(I43)</f>
        <v>0</v>
      </c>
      <c r="L44" s="467">
        <f>J19</f>
        <v>2.571428571428571</v>
      </c>
      <c r="M44" s="467">
        <f>F14</f>
        <v>0.844</v>
      </c>
      <c r="N44" s="468">
        <f t="shared" si="0"/>
        <v>0</v>
      </c>
      <c r="O44" s="470">
        <f>N44</f>
        <v>0</v>
      </c>
      <c r="P44" s="482">
        <v>5</v>
      </c>
      <c r="Q44" s="484">
        <f t="shared" si="1"/>
        <v>0</v>
      </c>
      <c r="S44" s="130"/>
      <c r="T44" s="130"/>
    </row>
    <row r="45" spans="1:20" ht="15.75">
      <c r="A45" s="393">
        <v>5</v>
      </c>
      <c r="B45" s="426" t="s">
        <v>257</v>
      </c>
      <c r="C45" s="390"/>
      <c r="D45" s="390"/>
      <c r="I45" s="425"/>
      <c r="J45" s="425"/>
      <c r="K45" s="425"/>
      <c r="L45" s="467"/>
      <c r="M45" s="467"/>
      <c r="N45" s="468"/>
      <c r="O45" s="469"/>
      <c r="P45" s="482"/>
      <c r="Q45" s="484"/>
      <c r="S45" s="130"/>
      <c r="T45" s="130"/>
    </row>
    <row r="46" spans="1:20" ht="15.75">
      <c r="A46" s="393"/>
      <c r="B46" s="426"/>
      <c r="C46" s="390" t="s">
        <v>265</v>
      </c>
      <c r="D46" s="390"/>
      <c r="I46" s="425">
        <f>'CUARTEL GENERAL'!K27+'CUARTEL GENERAL'!K28</f>
        <v>0</v>
      </c>
      <c r="J46" s="425">
        <f>4</f>
        <v>4</v>
      </c>
      <c r="K46" s="425">
        <f>J46*(I46)</f>
        <v>0</v>
      </c>
      <c r="L46" s="467">
        <f>J19</f>
        <v>2.571428571428571</v>
      </c>
      <c r="M46" s="467">
        <f>$C$14</f>
        <v>0.613</v>
      </c>
      <c r="N46" s="468">
        <f aca="true" t="shared" si="2" ref="N46:N57">K46*L46*M46</f>
        <v>0</v>
      </c>
      <c r="O46" s="470"/>
      <c r="P46" s="482">
        <v>5</v>
      </c>
      <c r="Q46" s="484">
        <f aca="true" t="shared" si="3" ref="Q46:Q51">P46*K46</f>
        <v>0</v>
      </c>
      <c r="S46" s="130"/>
      <c r="T46" s="130"/>
    </row>
    <row r="47" spans="1:20" ht="15.75">
      <c r="A47" s="393"/>
      <c r="B47" s="426"/>
      <c r="C47" s="390" t="s">
        <v>492</v>
      </c>
      <c r="D47" s="390"/>
      <c r="I47" s="425">
        <f>'CUARTEL GENERAL'!K29+'CUARTEL GENERAL'!K30+'CUARTEL GENERAL'!K73+'CUARTEL GENERAL'!K74+'CUARTEL GENERAL'!L75</f>
        <v>0</v>
      </c>
      <c r="J47" s="425">
        <f>4</f>
        <v>4</v>
      </c>
      <c r="K47" s="425">
        <f aca="true" t="shared" si="4" ref="K47:K75">J47*(I47)</f>
        <v>0</v>
      </c>
      <c r="L47" s="467">
        <f>J19</f>
        <v>2.571428571428571</v>
      </c>
      <c r="M47" s="467">
        <f>$C$14</f>
        <v>0.613</v>
      </c>
      <c r="N47" s="468">
        <f t="shared" si="2"/>
        <v>0</v>
      </c>
      <c r="O47" s="470">
        <f aca="true" t="shared" si="5" ref="O47:O57">N47</f>
        <v>0</v>
      </c>
      <c r="P47" s="482">
        <v>5</v>
      </c>
      <c r="Q47" s="484">
        <f t="shared" si="3"/>
        <v>0</v>
      </c>
      <c r="S47" s="130"/>
      <c r="T47" s="130"/>
    </row>
    <row r="48" spans="1:20" ht="15.75">
      <c r="A48" s="393"/>
      <c r="B48" s="426"/>
      <c r="C48" s="390" t="s">
        <v>504</v>
      </c>
      <c r="D48" s="390"/>
      <c r="I48" s="425">
        <f>'CUARTEL GENERAL'!K31+'CUARTEL GENERAL'!K32</f>
        <v>0</v>
      </c>
      <c r="J48" s="425">
        <v>3</v>
      </c>
      <c r="K48" s="425">
        <f t="shared" si="4"/>
        <v>0</v>
      </c>
      <c r="L48" s="467">
        <f>J11</f>
        <v>4.2857142857142865</v>
      </c>
      <c r="M48" s="467">
        <f>C14</f>
        <v>0.613</v>
      </c>
      <c r="N48" s="468">
        <f t="shared" si="2"/>
        <v>0</v>
      </c>
      <c r="O48" s="470">
        <f t="shared" si="5"/>
        <v>0</v>
      </c>
      <c r="P48" s="482">
        <v>1</v>
      </c>
      <c r="Q48" s="484">
        <f t="shared" si="3"/>
        <v>0</v>
      </c>
      <c r="S48" s="130"/>
      <c r="T48" s="130"/>
    </row>
    <row r="49" spans="1:20" ht="15.75">
      <c r="A49" s="393"/>
      <c r="B49" s="426"/>
      <c r="C49" s="390" t="s">
        <v>491</v>
      </c>
      <c r="D49" s="390"/>
      <c r="I49" s="425">
        <f>'CUARTEL GENERAL'!K33+'CUARTEL GENERAL'!K34</f>
        <v>0</v>
      </c>
      <c r="J49" s="425">
        <v>3</v>
      </c>
      <c r="K49" s="425">
        <f t="shared" si="4"/>
        <v>0</v>
      </c>
      <c r="L49" s="467">
        <f>J15</f>
        <v>3.761904761904762</v>
      </c>
      <c r="M49" s="467">
        <f>$C$14</f>
        <v>0.613</v>
      </c>
      <c r="N49" s="468">
        <f t="shared" si="2"/>
        <v>0</v>
      </c>
      <c r="O49" s="470">
        <f t="shared" si="5"/>
        <v>0</v>
      </c>
      <c r="P49" s="482">
        <v>5</v>
      </c>
      <c r="Q49" s="484">
        <f t="shared" si="3"/>
        <v>0</v>
      </c>
      <c r="S49" s="130"/>
      <c r="T49" s="130"/>
    </row>
    <row r="50" spans="1:20" ht="15.75">
      <c r="A50" s="393"/>
      <c r="B50" s="426"/>
      <c r="C50" s="390" t="s">
        <v>490</v>
      </c>
      <c r="D50" s="390"/>
      <c r="I50" s="425">
        <f>'CUARTEL GENERAL'!K35+'CUARTEL GENERAL'!K36</f>
        <v>0</v>
      </c>
      <c r="J50" s="425">
        <f>4</f>
        <v>4</v>
      </c>
      <c r="K50" s="425">
        <f t="shared" si="4"/>
        <v>0</v>
      </c>
      <c r="L50" s="467">
        <f>J15</f>
        <v>3.761904761904762</v>
      </c>
      <c r="M50" s="467">
        <f>$C$14</f>
        <v>0.613</v>
      </c>
      <c r="N50" s="468">
        <f t="shared" si="2"/>
        <v>0</v>
      </c>
      <c r="O50" s="470">
        <f t="shared" si="5"/>
        <v>0</v>
      </c>
      <c r="P50" s="482">
        <v>5</v>
      </c>
      <c r="Q50" s="484">
        <f t="shared" si="3"/>
        <v>0</v>
      </c>
      <c r="S50" s="130"/>
      <c r="T50" s="130"/>
    </row>
    <row r="51" spans="1:20" ht="15.75">
      <c r="A51" s="393"/>
      <c r="B51" s="426"/>
      <c r="C51" s="390" t="s">
        <v>169</v>
      </c>
      <c r="D51" s="390"/>
      <c r="I51" s="425">
        <f>'CUARTEL GENERAL'!K37+'CUARTEL GENERAL'!K38</f>
        <v>0</v>
      </c>
      <c r="J51" s="425">
        <v>3</v>
      </c>
      <c r="K51" s="425">
        <f t="shared" si="4"/>
        <v>0</v>
      </c>
      <c r="L51" s="467">
        <f>J11</f>
        <v>4.2857142857142865</v>
      </c>
      <c r="M51" s="467">
        <f>$C$14</f>
        <v>0.613</v>
      </c>
      <c r="N51" s="468">
        <f t="shared" si="2"/>
        <v>0</v>
      </c>
      <c r="O51" s="470">
        <f t="shared" si="5"/>
        <v>0</v>
      </c>
      <c r="P51" s="482">
        <v>1</v>
      </c>
      <c r="Q51" s="484">
        <f t="shared" si="3"/>
        <v>0</v>
      </c>
      <c r="S51" s="130"/>
      <c r="T51" s="130"/>
    </row>
    <row r="52" spans="1:20" ht="15.75">
      <c r="A52" s="393"/>
      <c r="B52" s="426"/>
      <c r="C52" s="111" t="str">
        <f aca="true" t="shared" si="6" ref="C52:C57">C46</f>
        <v>Espada sierra</v>
      </c>
      <c r="D52" s="390"/>
      <c r="I52" s="425">
        <f>'CUARTEL GENERAL'!L27+'CUARTEL GENERAL'!L28</f>
        <v>0</v>
      </c>
      <c r="J52" s="425">
        <v>5</v>
      </c>
      <c r="K52" s="425">
        <f t="shared" si="4"/>
        <v>0</v>
      </c>
      <c r="L52" s="467">
        <f>L46</f>
        <v>2.571428571428571</v>
      </c>
      <c r="M52" s="467">
        <f>M46</f>
        <v>0.613</v>
      </c>
      <c r="N52" s="468">
        <f t="shared" si="2"/>
        <v>0</v>
      </c>
      <c r="O52" s="470">
        <f t="shared" si="5"/>
        <v>0</v>
      </c>
      <c r="P52" s="482">
        <f aca="true" t="shared" si="7" ref="P52:P57">P46</f>
        <v>5</v>
      </c>
      <c r="Q52" s="484">
        <f aca="true" t="shared" si="8" ref="Q52:Q57">P52*K52</f>
        <v>0</v>
      </c>
      <c r="S52" s="130"/>
      <c r="T52" s="130"/>
    </row>
    <row r="53" spans="1:20" ht="15.75">
      <c r="A53" s="393"/>
      <c r="B53" s="426"/>
      <c r="C53" s="111" t="str">
        <f t="shared" si="6"/>
        <v>Arma de energía y pistola o arma cuerpo a cuerpo</v>
      </c>
      <c r="D53" s="390"/>
      <c r="I53" s="425">
        <f>'CUARTEL GENERAL'!L29+'CUARTEL GENERAL'!L30+'CUARTEL GENERAL'!L73+'CUARTEL GENERAL'!L74</f>
        <v>0</v>
      </c>
      <c r="J53" s="425">
        <v>5</v>
      </c>
      <c r="K53" s="425">
        <f t="shared" si="4"/>
        <v>0</v>
      </c>
      <c r="L53" s="467">
        <f aca="true" t="shared" si="9" ref="L53:M57">L47</f>
        <v>2.571428571428571</v>
      </c>
      <c r="M53" s="467">
        <f t="shared" si="9"/>
        <v>0.613</v>
      </c>
      <c r="N53" s="468">
        <f t="shared" si="2"/>
        <v>0</v>
      </c>
      <c r="O53" s="470">
        <f t="shared" si="5"/>
        <v>0</v>
      </c>
      <c r="P53" s="482">
        <f t="shared" si="7"/>
        <v>5</v>
      </c>
      <c r="Q53" s="484">
        <f t="shared" si="8"/>
        <v>0</v>
      </c>
      <c r="S53" s="130"/>
      <c r="T53" s="130"/>
    </row>
    <row r="54" spans="1:20" ht="15.75">
      <c r="A54" s="393"/>
      <c r="B54" s="426"/>
      <c r="C54" s="111" t="str">
        <f t="shared" si="6"/>
        <v>Puño de combate </v>
      </c>
      <c r="D54" s="390"/>
      <c r="I54" s="425">
        <f>'CUARTEL GENERAL'!L31+'CUARTEL GENERAL'!L32</f>
        <v>0</v>
      </c>
      <c r="J54" s="425">
        <v>4</v>
      </c>
      <c r="K54" s="425">
        <f t="shared" si="4"/>
        <v>0</v>
      </c>
      <c r="L54" s="467">
        <f t="shared" si="9"/>
        <v>4.2857142857142865</v>
      </c>
      <c r="M54" s="467">
        <f t="shared" si="9"/>
        <v>0.613</v>
      </c>
      <c r="N54" s="468">
        <f t="shared" si="2"/>
        <v>0</v>
      </c>
      <c r="O54" s="470">
        <f t="shared" si="5"/>
        <v>0</v>
      </c>
      <c r="P54" s="482">
        <f t="shared" si="7"/>
        <v>1</v>
      </c>
      <c r="Q54" s="484">
        <f t="shared" si="8"/>
        <v>0</v>
      </c>
      <c r="S54" s="130"/>
      <c r="T54" s="130"/>
    </row>
    <row r="55" spans="1:20" ht="15.75">
      <c r="A55" s="393"/>
      <c r="B55" s="426"/>
      <c r="C55" s="111" t="str">
        <f t="shared" si="6"/>
        <v>Garra relámpago</v>
      </c>
      <c r="D55" s="390"/>
      <c r="I55" s="425">
        <f>'CUARTEL GENERAL'!L33+'CUARTEL GENERAL'!L34</f>
        <v>0</v>
      </c>
      <c r="J55" s="425">
        <v>4</v>
      </c>
      <c r="K55" s="425">
        <f t="shared" si="4"/>
        <v>0</v>
      </c>
      <c r="L55" s="467">
        <f t="shared" si="9"/>
        <v>3.761904761904762</v>
      </c>
      <c r="M55" s="467">
        <f t="shared" si="9"/>
        <v>0.613</v>
      </c>
      <c r="N55" s="468">
        <f t="shared" si="2"/>
        <v>0</v>
      </c>
      <c r="O55" s="470">
        <f t="shared" si="5"/>
        <v>0</v>
      </c>
      <c r="P55" s="482">
        <f t="shared" si="7"/>
        <v>5</v>
      </c>
      <c r="Q55" s="484">
        <f t="shared" si="8"/>
        <v>0</v>
      </c>
      <c r="S55" s="130"/>
      <c r="T55" s="130"/>
    </row>
    <row r="56" spans="1:20" ht="15.75">
      <c r="A56" s="393"/>
      <c r="B56" s="426"/>
      <c r="C56" s="111" t="str">
        <f t="shared" si="6"/>
        <v>Garras relámpago</v>
      </c>
      <c r="D56" s="390"/>
      <c r="I56" s="425">
        <f>'CUARTEL GENERAL'!L35+'CUARTEL GENERAL'!L36</f>
        <v>0</v>
      </c>
      <c r="J56" s="425">
        <v>5</v>
      </c>
      <c r="K56" s="425">
        <f t="shared" si="4"/>
        <v>0</v>
      </c>
      <c r="L56" s="467">
        <f t="shared" si="9"/>
        <v>3.761904761904762</v>
      </c>
      <c r="M56" s="467">
        <f t="shared" si="9"/>
        <v>0.613</v>
      </c>
      <c r="N56" s="468">
        <f t="shared" si="2"/>
        <v>0</v>
      </c>
      <c r="O56" s="470">
        <f t="shared" si="5"/>
        <v>0</v>
      </c>
      <c r="P56" s="482">
        <f t="shared" si="7"/>
        <v>5</v>
      </c>
      <c r="Q56" s="484">
        <f t="shared" si="8"/>
        <v>0</v>
      </c>
      <c r="S56" s="130"/>
      <c r="T56" s="130"/>
    </row>
    <row r="57" spans="1:20" ht="15.75">
      <c r="A57" s="393"/>
      <c r="B57" s="426"/>
      <c r="C57" s="111" t="str">
        <f t="shared" si="6"/>
        <v>Martillo del trueno</v>
      </c>
      <c r="D57" s="390"/>
      <c r="I57" s="425">
        <f>'CUARTEL GENERAL'!L37+'CUARTEL GENERAL'!L38</f>
        <v>0</v>
      </c>
      <c r="J57" s="425">
        <v>4</v>
      </c>
      <c r="K57" s="425">
        <f t="shared" si="4"/>
        <v>0</v>
      </c>
      <c r="L57" s="467">
        <f t="shared" si="9"/>
        <v>4.2857142857142865</v>
      </c>
      <c r="M57" s="467">
        <f t="shared" si="9"/>
        <v>0.613</v>
      </c>
      <c r="N57" s="468">
        <f t="shared" si="2"/>
        <v>0</v>
      </c>
      <c r="O57" s="470">
        <f t="shared" si="5"/>
        <v>0</v>
      </c>
      <c r="P57" s="482">
        <f t="shared" si="7"/>
        <v>1</v>
      </c>
      <c r="Q57" s="484">
        <f t="shared" si="8"/>
        <v>0</v>
      </c>
      <c r="S57" s="130"/>
      <c r="T57" s="130"/>
    </row>
    <row r="58" spans="1:20" ht="15.75">
      <c r="A58" s="393">
        <v>6</v>
      </c>
      <c r="B58" s="426" t="s">
        <v>513</v>
      </c>
      <c r="C58" s="390"/>
      <c r="D58" s="390"/>
      <c r="I58" s="425"/>
      <c r="J58" s="425"/>
      <c r="K58" s="425"/>
      <c r="L58" s="467"/>
      <c r="M58" s="467"/>
      <c r="N58" s="468"/>
      <c r="O58" s="470"/>
      <c r="P58" s="482"/>
      <c r="Q58" s="484"/>
      <c r="S58" s="130"/>
      <c r="T58" s="130"/>
    </row>
    <row r="59" spans="1:20" ht="15.75">
      <c r="A59" s="393"/>
      <c r="B59" s="426"/>
      <c r="C59" s="390" t="s">
        <v>502</v>
      </c>
      <c r="D59" s="390"/>
      <c r="I59" s="425">
        <f>'CUARTEL GENERAL'!K40+'CUARTEL GENERAL'!K41+'CUARTEL GENERAL'!K57+'CUARTEL GENERAL'!K58</f>
        <v>0</v>
      </c>
      <c r="J59" s="425">
        <f>4+'CUARTEL GENERAL'!E45</f>
        <v>4</v>
      </c>
      <c r="K59" s="425">
        <f t="shared" si="4"/>
        <v>0</v>
      </c>
      <c r="L59" s="467">
        <f>J19</f>
        <v>2.571428571428571</v>
      </c>
      <c r="M59" s="467">
        <f>C14</f>
        <v>0.613</v>
      </c>
      <c r="N59" s="468">
        <f aca="true" t="shared" si="10" ref="N59:N75">K59*L59*M59</f>
        <v>0</v>
      </c>
      <c r="O59" s="470">
        <f aca="true" t="shared" si="11" ref="O59:O64">N59</f>
        <v>0</v>
      </c>
      <c r="P59" s="482">
        <v>5</v>
      </c>
      <c r="Q59" s="484">
        <f aca="true" t="shared" si="12" ref="Q59:Q75">P59*K59</f>
        <v>0</v>
      </c>
      <c r="S59" s="130"/>
      <c r="T59" s="130"/>
    </row>
    <row r="60" spans="1:20" ht="15.75">
      <c r="A60" s="393"/>
      <c r="B60" s="426"/>
      <c r="C60" s="390" t="s">
        <v>503</v>
      </c>
      <c r="D60" s="390"/>
      <c r="I60" s="425">
        <f>'CUARTEL GENERAL'!K42+'CUARTEL GENERAL'!K43+'CUARTEL GENERAL'!K59+'CUARTEL GENERAL'!K60</f>
        <v>0</v>
      </c>
      <c r="J60" s="425">
        <f>3+'CUARTEL GENERAL'!E45</f>
        <v>3</v>
      </c>
      <c r="K60" s="425">
        <f t="shared" si="4"/>
        <v>0</v>
      </c>
      <c r="L60" s="467">
        <f>J11</f>
        <v>4.2857142857142865</v>
      </c>
      <c r="M60" s="467">
        <f>C14</f>
        <v>0.613</v>
      </c>
      <c r="N60" s="468">
        <f t="shared" si="10"/>
        <v>0</v>
      </c>
      <c r="O60" s="470">
        <f t="shared" si="11"/>
        <v>0</v>
      </c>
      <c r="P60" s="482">
        <v>1</v>
      </c>
      <c r="Q60" s="484">
        <f t="shared" si="12"/>
        <v>0</v>
      </c>
      <c r="S60" s="130"/>
      <c r="T60" s="130"/>
    </row>
    <row r="61" spans="1:20" ht="15.75">
      <c r="A61" s="393"/>
      <c r="B61" s="426"/>
      <c r="C61" s="111" t="s">
        <v>502</v>
      </c>
      <c r="D61" s="390"/>
      <c r="I61" s="425">
        <f>'CUARTEL GENERAL'!L40+'CUARTEL GENERAL'!L41+'CUARTEL GENERAL'!L57+'CUARTEL GENERAL'!L58</f>
        <v>0</v>
      </c>
      <c r="J61" s="425">
        <v>5</v>
      </c>
      <c r="K61" s="425">
        <f t="shared" si="4"/>
        <v>0</v>
      </c>
      <c r="L61" s="467">
        <f>L59</f>
        <v>2.571428571428571</v>
      </c>
      <c r="M61" s="467">
        <f>M59</f>
        <v>0.613</v>
      </c>
      <c r="N61" s="468">
        <f t="shared" si="10"/>
        <v>0</v>
      </c>
      <c r="O61" s="470">
        <f t="shared" si="11"/>
        <v>0</v>
      </c>
      <c r="P61" s="482">
        <v>5</v>
      </c>
      <c r="Q61" s="484">
        <f t="shared" si="12"/>
        <v>0</v>
      </c>
      <c r="S61" s="130"/>
      <c r="T61" s="130"/>
    </row>
    <row r="62" spans="1:20" ht="15.75">
      <c r="A62" s="393"/>
      <c r="B62" s="426"/>
      <c r="C62" s="111" t="s">
        <v>503</v>
      </c>
      <c r="D62" s="390"/>
      <c r="I62" s="425">
        <f>'CUARTEL GENERAL'!L42+'CUARTEL GENERAL'!L43+'CUARTEL GENERAL'!L59+'CUARTEL GENERAL'!L60</f>
        <v>0</v>
      </c>
      <c r="J62" s="425">
        <v>4</v>
      </c>
      <c r="K62" s="425">
        <f t="shared" si="4"/>
        <v>0</v>
      </c>
      <c r="L62" s="467">
        <f>L60</f>
        <v>4.2857142857142865</v>
      </c>
      <c r="M62" s="467">
        <f>M60</f>
        <v>0.613</v>
      </c>
      <c r="N62" s="468">
        <f t="shared" si="10"/>
        <v>0</v>
      </c>
      <c r="O62" s="470">
        <f t="shared" si="11"/>
        <v>0</v>
      </c>
      <c r="P62" s="482">
        <v>1</v>
      </c>
      <c r="Q62" s="484">
        <f t="shared" si="12"/>
        <v>0</v>
      </c>
      <c r="S62" s="130"/>
      <c r="T62" s="130"/>
    </row>
    <row r="63" spans="1:20" ht="15.75">
      <c r="A63" s="393">
        <v>7</v>
      </c>
      <c r="B63" s="426" t="s">
        <v>517</v>
      </c>
      <c r="C63" s="111"/>
      <c r="D63" s="390"/>
      <c r="I63" s="425"/>
      <c r="J63" s="425"/>
      <c r="K63" s="425"/>
      <c r="L63" s="467"/>
      <c r="M63" s="467"/>
      <c r="N63" s="468"/>
      <c r="O63" s="470"/>
      <c r="P63" s="482"/>
      <c r="Q63" s="484"/>
      <c r="S63" s="130"/>
      <c r="T63" s="130"/>
    </row>
    <row r="64" spans="1:20" ht="15.75">
      <c r="A64" s="393"/>
      <c r="B64" s="426"/>
      <c r="C64" s="111" t="s">
        <v>494</v>
      </c>
      <c r="D64" s="390"/>
      <c r="I64" s="425">
        <f>'CUARTEL GENERAL'!K75</f>
        <v>0</v>
      </c>
      <c r="J64" s="425">
        <v>3</v>
      </c>
      <c r="K64" s="425">
        <f t="shared" si="4"/>
        <v>0</v>
      </c>
      <c r="L64" s="467">
        <f>J19</f>
        <v>2.571428571428571</v>
      </c>
      <c r="M64" s="467">
        <f>C14</f>
        <v>0.613</v>
      </c>
      <c r="N64" s="468">
        <f t="shared" si="10"/>
        <v>0</v>
      </c>
      <c r="O64" s="470">
        <f t="shared" si="11"/>
        <v>0</v>
      </c>
      <c r="P64" s="482">
        <v>5</v>
      </c>
      <c r="Q64" s="484">
        <f t="shared" si="12"/>
        <v>0</v>
      </c>
      <c r="S64" s="130"/>
      <c r="T64" s="130"/>
    </row>
    <row r="65" spans="1:20" ht="15.75">
      <c r="A65" s="393">
        <v>8</v>
      </c>
      <c r="B65" s="426" t="s">
        <v>527</v>
      </c>
      <c r="C65" s="111"/>
      <c r="D65" s="390"/>
      <c r="I65" s="425"/>
      <c r="J65" s="425"/>
      <c r="K65" s="425"/>
      <c r="L65" s="467"/>
      <c r="M65" s="467"/>
      <c r="N65" s="468"/>
      <c r="O65" s="470"/>
      <c r="P65" s="482"/>
      <c r="Q65" s="484"/>
      <c r="S65" s="130"/>
      <c r="T65" s="130"/>
    </row>
    <row r="66" spans="1:20" ht="15.75">
      <c r="A66" s="111"/>
      <c r="B66" s="426"/>
      <c r="C66" s="432" t="s">
        <v>300</v>
      </c>
      <c r="D66" s="390"/>
      <c r="I66" s="425">
        <f>'CUARTEL GENERAL'!K92+'CUARTEL GENERAL'!K94</f>
        <v>0</v>
      </c>
      <c r="J66" s="425">
        <v>2</v>
      </c>
      <c r="K66" s="425">
        <f t="shared" si="4"/>
        <v>0</v>
      </c>
      <c r="L66" s="467">
        <f>$J$19</f>
        <v>2.571428571428571</v>
      </c>
      <c r="M66" s="467">
        <f>$C$15</f>
        <v>0.546</v>
      </c>
      <c r="N66" s="468">
        <f t="shared" si="10"/>
        <v>0</v>
      </c>
      <c r="O66" s="470"/>
      <c r="P66" s="482">
        <v>4</v>
      </c>
      <c r="Q66" s="484">
        <f t="shared" si="12"/>
        <v>0</v>
      </c>
      <c r="S66" s="130"/>
      <c r="T66" s="130"/>
    </row>
    <row r="67" spans="1:20" ht="15.75">
      <c r="A67" s="111"/>
      <c r="B67" s="426"/>
      <c r="C67" s="432" t="s">
        <v>528</v>
      </c>
      <c r="D67" s="390"/>
      <c r="I67" s="425">
        <f>'CUARTEL GENERAL'!K93+'CUARTEL GENERAL'!K95</f>
        <v>0</v>
      </c>
      <c r="J67" s="425">
        <v>3</v>
      </c>
      <c r="K67" s="425">
        <f t="shared" si="4"/>
        <v>0</v>
      </c>
      <c r="L67" s="467">
        <f aca="true" t="shared" si="13" ref="L67:L74">$J$19</f>
        <v>2.571428571428571</v>
      </c>
      <c r="M67" s="467">
        <f aca="true" t="shared" si="14" ref="M67:M75">$C$15</f>
        <v>0.546</v>
      </c>
      <c r="N67" s="468">
        <f t="shared" si="10"/>
        <v>0</v>
      </c>
      <c r="O67" s="470"/>
      <c r="P67" s="482">
        <v>4</v>
      </c>
      <c r="Q67" s="484">
        <f t="shared" si="12"/>
        <v>0</v>
      </c>
      <c r="S67" s="130"/>
      <c r="T67" s="130"/>
    </row>
    <row r="68" spans="1:20" ht="15.75">
      <c r="A68" s="111"/>
      <c r="B68" s="426"/>
      <c r="C68" s="432" t="s">
        <v>529</v>
      </c>
      <c r="D68" s="390"/>
      <c r="I68" s="425">
        <f>'CUARTEL GENERAL'!K96+'CUARTEL GENERAL'!K98</f>
        <v>0</v>
      </c>
      <c r="J68" s="425">
        <v>2</v>
      </c>
      <c r="K68" s="425">
        <f t="shared" si="4"/>
        <v>0</v>
      </c>
      <c r="L68" s="467">
        <f t="shared" si="13"/>
        <v>2.571428571428571</v>
      </c>
      <c r="M68" s="467">
        <f t="shared" si="14"/>
        <v>0.546</v>
      </c>
      <c r="N68" s="468">
        <f t="shared" si="10"/>
        <v>0</v>
      </c>
      <c r="O68" s="470">
        <f aca="true" t="shared" si="15" ref="O68:O75">N68</f>
        <v>0</v>
      </c>
      <c r="P68" s="482">
        <v>4</v>
      </c>
      <c r="Q68" s="484">
        <f t="shared" si="12"/>
        <v>0</v>
      </c>
      <c r="S68" s="130"/>
      <c r="T68" s="130"/>
    </row>
    <row r="69" spans="1:20" ht="15.75">
      <c r="A69" s="111"/>
      <c r="B69" s="426"/>
      <c r="C69" s="432" t="s">
        <v>492</v>
      </c>
      <c r="D69" s="390"/>
      <c r="I69" s="425">
        <f>'CUARTEL GENERAL'!K97+'CUARTEL GENERAL'!K99</f>
        <v>0</v>
      </c>
      <c r="J69" s="425">
        <v>3</v>
      </c>
      <c r="K69" s="425">
        <f t="shared" si="4"/>
        <v>0</v>
      </c>
      <c r="L69" s="467">
        <f t="shared" si="13"/>
        <v>2.571428571428571</v>
      </c>
      <c r="M69" s="467">
        <f t="shared" si="14"/>
        <v>0.546</v>
      </c>
      <c r="N69" s="468">
        <f t="shared" si="10"/>
        <v>0</v>
      </c>
      <c r="O69" s="470">
        <f t="shared" si="15"/>
        <v>0</v>
      </c>
      <c r="P69" s="482">
        <v>4</v>
      </c>
      <c r="Q69" s="484">
        <f t="shared" si="12"/>
        <v>0</v>
      </c>
      <c r="S69" s="130"/>
      <c r="T69" s="130"/>
    </row>
    <row r="70" spans="1:20" ht="15.75">
      <c r="A70" s="111"/>
      <c r="B70" s="426"/>
      <c r="C70" s="432" t="s">
        <v>504</v>
      </c>
      <c r="D70" s="390"/>
      <c r="I70" s="425">
        <f>'CUARTEL GENERAL'!K100+'CUARTEL GENERAL'!K101</f>
        <v>0</v>
      </c>
      <c r="J70" s="425">
        <v>2</v>
      </c>
      <c r="K70" s="425">
        <f t="shared" si="4"/>
        <v>0</v>
      </c>
      <c r="L70" s="467">
        <f>J11</f>
        <v>4.2857142857142865</v>
      </c>
      <c r="M70" s="467">
        <f t="shared" si="14"/>
        <v>0.546</v>
      </c>
      <c r="N70" s="468">
        <f t="shared" si="10"/>
        <v>0</v>
      </c>
      <c r="O70" s="470">
        <f t="shared" si="15"/>
        <v>0</v>
      </c>
      <c r="P70" s="482">
        <v>1</v>
      </c>
      <c r="Q70" s="484">
        <f t="shared" si="12"/>
        <v>0</v>
      </c>
      <c r="S70" s="130"/>
      <c r="T70" s="130"/>
    </row>
    <row r="71" spans="1:20" ht="15.75">
      <c r="A71" s="111"/>
      <c r="B71" s="426"/>
      <c r="C71" s="111" t="s">
        <v>300</v>
      </c>
      <c r="D71" s="390"/>
      <c r="I71" s="425">
        <f>'CUARTEL GENERAL'!L92+'CUARTEL GENERAL'!L94</f>
        <v>0</v>
      </c>
      <c r="J71" s="425">
        <v>3</v>
      </c>
      <c r="K71" s="425">
        <f t="shared" si="4"/>
        <v>0</v>
      </c>
      <c r="L71" s="467">
        <f t="shared" si="13"/>
        <v>2.571428571428571</v>
      </c>
      <c r="M71" s="467">
        <f t="shared" si="14"/>
        <v>0.546</v>
      </c>
      <c r="N71" s="468">
        <f t="shared" si="10"/>
        <v>0</v>
      </c>
      <c r="O71" s="470"/>
      <c r="P71" s="482">
        <v>4</v>
      </c>
      <c r="Q71" s="484">
        <f t="shared" si="12"/>
        <v>0</v>
      </c>
      <c r="S71" s="130"/>
      <c r="T71" s="130"/>
    </row>
    <row r="72" spans="1:20" ht="15.75">
      <c r="A72" s="111"/>
      <c r="B72" s="426"/>
      <c r="C72" s="111" t="s">
        <v>528</v>
      </c>
      <c r="D72" s="390"/>
      <c r="I72" s="425">
        <f>'CUARTEL GENERAL'!L93+'CUARTEL GENERAL'!L95</f>
        <v>0</v>
      </c>
      <c r="J72" s="425">
        <v>4</v>
      </c>
      <c r="K72" s="425">
        <f t="shared" si="4"/>
        <v>0</v>
      </c>
      <c r="L72" s="467">
        <f t="shared" si="13"/>
        <v>2.571428571428571</v>
      </c>
      <c r="M72" s="467">
        <f t="shared" si="14"/>
        <v>0.546</v>
      </c>
      <c r="N72" s="468">
        <f t="shared" si="10"/>
        <v>0</v>
      </c>
      <c r="O72" s="470"/>
      <c r="P72" s="482">
        <v>4</v>
      </c>
      <c r="Q72" s="484">
        <f t="shared" si="12"/>
        <v>0</v>
      </c>
      <c r="S72" s="130"/>
      <c r="T72" s="130"/>
    </row>
    <row r="73" spans="1:20" ht="15.75">
      <c r="A73" s="111"/>
      <c r="B73" s="426"/>
      <c r="C73" s="111" t="s">
        <v>529</v>
      </c>
      <c r="D73" s="390"/>
      <c r="I73" s="425">
        <f>'CUARTEL GENERAL'!L96+'CUARTEL GENERAL'!L98</f>
        <v>0</v>
      </c>
      <c r="J73" s="425">
        <v>3</v>
      </c>
      <c r="K73" s="425">
        <f t="shared" si="4"/>
        <v>0</v>
      </c>
      <c r="L73" s="467">
        <f t="shared" si="13"/>
        <v>2.571428571428571</v>
      </c>
      <c r="M73" s="467">
        <f t="shared" si="14"/>
        <v>0.546</v>
      </c>
      <c r="N73" s="468">
        <f t="shared" si="10"/>
        <v>0</v>
      </c>
      <c r="O73" s="470">
        <f t="shared" si="15"/>
        <v>0</v>
      </c>
      <c r="P73" s="482">
        <v>4</v>
      </c>
      <c r="Q73" s="484">
        <f t="shared" si="12"/>
        <v>0</v>
      </c>
      <c r="S73" s="130"/>
      <c r="T73" s="130"/>
    </row>
    <row r="74" spans="1:20" ht="15.75">
      <c r="A74" s="111"/>
      <c r="B74" s="426"/>
      <c r="C74" s="111" t="s">
        <v>492</v>
      </c>
      <c r="D74" s="390"/>
      <c r="I74" s="425">
        <f>'CUARTEL GENERAL'!L97+'CUARTEL GENERAL'!L99</f>
        <v>0</v>
      </c>
      <c r="J74" s="425">
        <v>4</v>
      </c>
      <c r="K74" s="425">
        <f t="shared" si="4"/>
        <v>0</v>
      </c>
      <c r="L74" s="467">
        <f t="shared" si="13"/>
        <v>2.571428571428571</v>
      </c>
      <c r="M74" s="467">
        <f t="shared" si="14"/>
        <v>0.546</v>
      </c>
      <c r="N74" s="468">
        <f t="shared" si="10"/>
        <v>0</v>
      </c>
      <c r="O74" s="470">
        <f t="shared" si="15"/>
        <v>0</v>
      </c>
      <c r="P74" s="482">
        <v>4</v>
      </c>
      <c r="Q74" s="484">
        <f t="shared" si="12"/>
        <v>0</v>
      </c>
      <c r="S74" s="130"/>
      <c r="T74" s="130"/>
    </row>
    <row r="75" spans="1:20" ht="15.75">
      <c r="A75" s="111"/>
      <c r="B75" s="426"/>
      <c r="C75" s="111" t="s">
        <v>504</v>
      </c>
      <c r="D75" s="390"/>
      <c r="I75" s="425">
        <f>'CUARTEL GENERAL'!L100+'CUARTEL GENERAL'!L101</f>
        <v>0</v>
      </c>
      <c r="J75" s="425">
        <v>3</v>
      </c>
      <c r="K75" s="425">
        <f t="shared" si="4"/>
        <v>0</v>
      </c>
      <c r="L75" s="467">
        <f>J11</f>
        <v>4.2857142857142865</v>
      </c>
      <c r="M75" s="467">
        <f t="shared" si="14"/>
        <v>0.546</v>
      </c>
      <c r="N75" s="468">
        <f t="shared" si="10"/>
        <v>0</v>
      </c>
      <c r="O75" s="470">
        <f t="shared" si="15"/>
        <v>0</v>
      </c>
      <c r="P75" s="482">
        <v>1</v>
      </c>
      <c r="Q75" s="484">
        <f t="shared" si="12"/>
        <v>0</v>
      </c>
      <c r="S75" s="130"/>
      <c r="T75" s="130"/>
    </row>
    <row r="76" spans="2:20" ht="16.5" thickBot="1">
      <c r="B76" s="390"/>
      <c r="C76" s="426"/>
      <c r="D76" s="390"/>
      <c r="I76" s="425"/>
      <c r="J76" s="425"/>
      <c r="K76" s="425"/>
      <c r="L76" s="467"/>
      <c r="M76" s="467"/>
      <c r="N76" s="468"/>
      <c r="O76" s="469"/>
      <c r="P76" s="482"/>
      <c r="Q76" s="483"/>
      <c r="S76" s="130"/>
      <c r="T76" s="130"/>
    </row>
    <row r="77" spans="1:20" ht="13.5" thickBot="1">
      <c r="A77" s="389"/>
      <c r="B77" s="388" t="s">
        <v>13</v>
      </c>
      <c r="C77" s="398"/>
      <c r="D77" s="398"/>
      <c r="E77" s="398"/>
      <c r="F77" s="398"/>
      <c r="G77" s="398"/>
      <c r="H77" s="428"/>
      <c r="I77" s="381">
        <f>SUM(I78:I85)</f>
        <v>0</v>
      </c>
      <c r="J77" s="381"/>
      <c r="K77" s="381">
        <f>SUM(K78:K85)</f>
        <v>0</v>
      </c>
      <c r="L77" s="436"/>
      <c r="M77" s="436"/>
      <c r="N77" s="471">
        <f>SUM(N78:N85)</f>
        <v>0</v>
      </c>
      <c r="O77" s="471">
        <f>SUM(O78:O85)</f>
        <v>0</v>
      </c>
      <c r="P77" s="485"/>
      <c r="Q77" s="471">
        <f>SUM(Q78:Q85)</f>
        <v>0</v>
      </c>
      <c r="S77" s="130"/>
      <c r="T77" s="130"/>
    </row>
    <row r="78" spans="1:20" ht="15.75">
      <c r="A78" s="393">
        <v>1</v>
      </c>
      <c r="B78" s="424" t="s">
        <v>425</v>
      </c>
      <c r="C78" s="390"/>
      <c r="D78" s="390"/>
      <c r="I78" s="425"/>
      <c r="J78" s="425"/>
      <c r="K78" s="425"/>
      <c r="L78" s="467"/>
      <c r="M78" s="467"/>
      <c r="N78" s="468"/>
      <c r="O78" s="469"/>
      <c r="P78" s="482"/>
      <c r="Q78" s="483"/>
      <c r="S78" s="130"/>
      <c r="T78" s="130"/>
    </row>
    <row r="79" spans="1:20" ht="12.75">
      <c r="A79" s="393"/>
      <c r="B79" s="390"/>
      <c r="C79" s="390" t="s">
        <v>537</v>
      </c>
      <c r="D79" s="390"/>
      <c r="I79" s="425">
        <f>LINEA!K5</f>
        <v>0</v>
      </c>
      <c r="J79" s="425">
        <v>1</v>
      </c>
      <c r="K79" s="425">
        <f>J79*(I79)</f>
        <v>0</v>
      </c>
      <c r="L79" s="467">
        <f>$J$19</f>
        <v>2.571428571428571</v>
      </c>
      <c r="M79" s="467">
        <f>$C$15</f>
        <v>0.546</v>
      </c>
      <c r="N79" s="468">
        <f>K79*L79*M79</f>
        <v>0</v>
      </c>
      <c r="O79" s="469"/>
      <c r="P79" s="482">
        <v>4</v>
      </c>
      <c r="Q79" s="483">
        <f>K79*P79</f>
        <v>0</v>
      </c>
      <c r="S79" s="130"/>
      <c r="T79" s="130"/>
    </row>
    <row r="80" spans="1:20" ht="12.75">
      <c r="A80" s="393"/>
      <c r="B80" s="390"/>
      <c r="C80" s="390" t="s">
        <v>536</v>
      </c>
      <c r="D80" s="390"/>
      <c r="I80" s="425">
        <f>LINEA!K6+LINEA!K7</f>
        <v>0</v>
      </c>
      <c r="J80" s="425">
        <v>2</v>
      </c>
      <c r="K80" s="425">
        <f>J80*(I80)</f>
        <v>0</v>
      </c>
      <c r="L80" s="467">
        <f>$J$19</f>
        <v>2.571428571428571</v>
      </c>
      <c r="M80" s="467">
        <f>$C$15</f>
        <v>0.546</v>
      </c>
      <c r="N80" s="468">
        <f>K80*L80*M80</f>
        <v>0</v>
      </c>
      <c r="O80" s="469"/>
      <c r="P80" s="482">
        <v>4</v>
      </c>
      <c r="Q80" s="483">
        <f>K80*P80</f>
        <v>0</v>
      </c>
      <c r="S80" s="130"/>
      <c r="T80" s="130"/>
    </row>
    <row r="81" spans="1:20" ht="12.75">
      <c r="A81" s="393"/>
      <c r="B81" s="390"/>
      <c r="C81" s="368" t="s">
        <v>535</v>
      </c>
      <c r="D81" s="390"/>
      <c r="I81" s="425">
        <f>LINEA!K8+LINEA!K9</f>
        <v>0</v>
      </c>
      <c r="J81" s="425">
        <v>3</v>
      </c>
      <c r="K81" s="425">
        <f>J81*(I81)</f>
        <v>0</v>
      </c>
      <c r="L81" s="467">
        <f>$J$19</f>
        <v>2.571428571428571</v>
      </c>
      <c r="M81" s="467">
        <f>$C$15</f>
        <v>0.546</v>
      </c>
      <c r="N81" s="468">
        <f>K81*L81*M81</f>
        <v>0</v>
      </c>
      <c r="O81" s="470"/>
      <c r="P81" s="482">
        <v>4</v>
      </c>
      <c r="Q81" s="483">
        <f>K81*P81</f>
        <v>0</v>
      </c>
      <c r="S81" s="130"/>
      <c r="T81" s="130"/>
    </row>
    <row r="82" spans="1:20" ht="12.75">
      <c r="A82" s="393"/>
      <c r="B82" s="390"/>
      <c r="C82" s="432" t="s">
        <v>492</v>
      </c>
      <c r="D82" s="390"/>
      <c r="I82" s="425">
        <f>LINEA!K10+LINEA!K11</f>
        <v>0</v>
      </c>
      <c r="J82" s="425">
        <v>3</v>
      </c>
      <c r="K82" s="425">
        <f>J82*(I82)</f>
        <v>0</v>
      </c>
      <c r="L82" s="467">
        <f>$J$19</f>
        <v>2.571428571428571</v>
      </c>
      <c r="M82" s="467">
        <f>$C$15</f>
        <v>0.546</v>
      </c>
      <c r="N82" s="468">
        <f>K82*L82*M82</f>
        <v>0</v>
      </c>
      <c r="O82" s="470">
        <f>N82</f>
        <v>0</v>
      </c>
      <c r="P82" s="482">
        <v>4</v>
      </c>
      <c r="Q82" s="483">
        <f>K82*P82</f>
        <v>0</v>
      </c>
      <c r="S82" s="130"/>
      <c r="T82" s="130"/>
    </row>
    <row r="83" spans="1:20" ht="12.75">
      <c r="A83" s="393"/>
      <c r="B83" s="390"/>
      <c r="C83" s="432" t="s">
        <v>504</v>
      </c>
      <c r="D83" s="390"/>
      <c r="I83" s="425">
        <f>LINEA!K12+LINEA!K13</f>
        <v>0</v>
      </c>
      <c r="J83" s="425">
        <v>2</v>
      </c>
      <c r="K83" s="425">
        <f>J83*(I83)</f>
        <v>0</v>
      </c>
      <c r="L83" s="467">
        <f>J11</f>
        <v>4.2857142857142865</v>
      </c>
      <c r="M83" s="467">
        <f>$C$15</f>
        <v>0.546</v>
      </c>
      <c r="N83" s="468">
        <f>K83*L83*M83</f>
        <v>0</v>
      </c>
      <c r="O83" s="470">
        <f>N83</f>
        <v>0</v>
      </c>
      <c r="P83" s="482">
        <v>1</v>
      </c>
      <c r="Q83" s="483">
        <f>K83*P83</f>
        <v>0</v>
      </c>
      <c r="S83" s="130"/>
      <c r="T83" s="130"/>
    </row>
    <row r="84" spans="1:20" ht="15.75">
      <c r="A84" s="393"/>
      <c r="B84" s="424"/>
      <c r="C84" s="390"/>
      <c r="D84" s="390"/>
      <c r="I84" s="425"/>
      <c r="J84" s="425"/>
      <c r="K84" s="425"/>
      <c r="L84" s="467"/>
      <c r="M84" s="467"/>
      <c r="N84" s="468"/>
      <c r="O84" s="469"/>
      <c r="P84" s="482"/>
      <c r="Q84" s="483"/>
      <c r="S84" s="130"/>
      <c r="T84" s="130"/>
    </row>
    <row r="85" spans="1:20" ht="13.5" thickBot="1">
      <c r="A85" s="393">
        <v>6</v>
      </c>
      <c r="B85" s="390"/>
      <c r="C85" s="390"/>
      <c r="D85" s="390"/>
      <c r="I85" s="425"/>
      <c r="J85" s="425"/>
      <c r="K85" s="425">
        <f>J85*(I85)</f>
        <v>0</v>
      </c>
      <c r="L85" s="467"/>
      <c r="M85" s="467"/>
      <c r="N85" s="468"/>
      <c r="O85" s="469"/>
      <c r="P85" s="482"/>
      <c r="Q85" s="483"/>
      <c r="S85" s="130"/>
      <c r="T85" s="130"/>
    </row>
    <row r="86" spans="1:20" ht="13.5" thickBot="1">
      <c r="A86" s="389"/>
      <c r="B86" s="388" t="s">
        <v>14</v>
      </c>
      <c r="C86" s="398"/>
      <c r="D86" s="398"/>
      <c r="E86" s="398"/>
      <c r="F86" s="398"/>
      <c r="G86" s="398"/>
      <c r="H86" s="428"/>
      <c r="I86" s="381">
        <f>SUM(I87:I126)</f>
        <v>0</v>
      </c>
      <c r="J86" s="381"/>
      <c r="K86" s="381">
        <f>SUM(K87:K126)</f>
        <v>0</v>
      </c>
      <c r="L86" s="436">
        <f>SUM(L87:L126)</f>
        <v>109.9047619047619</v>
      </c>
      <c r="M86" s="436">
        <f>SUM(M87:M126)</f>
        <v>17.471999999999994</v>
      </c>
      <c r="N86" s="471">
        <f>SUM(N87:N126)</f>
        <v>0</v>
      </c>
      <c r="O86" s="471">
        <f>SUM(O87:O126)</f>
        <v>0</v>
      </c>
      <c r="P86" s="485"/>
      <c r="Q86" s="471">
        <f>SUM(Q87:Q126)</f>
        <v>0</v>
      </c>
      <c r="S86" s="130"/>
      <c r="T86" s="130"/>
    </row>
    <row r="87" spans="1:20" ht="15.75">
      <c r="A87" s="393">
        <v>1</v>
      </c>
      <c r="B87" s="424" t="s">
        <v>538</v>
      </c>
      <c r="C87" s="390"/>
      <c r="D87" s="390"/>
      <c r="I87" s="425"/>
      <c r="J87" s="425"/>
      <c r="K87" s="425"/>
      <c r="L87" s="467"/>
      <c r="M87" s="467"/>
      <c r="N87" s="468"/>
      <c r="O87" s="469"/>
      <c r="P87" s="482"/>
      <c r="Q87" s="483"/>
      <c r="S87" s="130"/>
      <c r="T87" s="130"/>
    </row>
    <row r="88" spans="1:20" ht="12.75">
      <c r="A88" s="393"/>
      <c r="B88" s="390"/>
      <c r="C88" s="390" t="s">
        <v>186</v>
      </c>
      <c r="D88" s="390"/>
      <c r="I88" s="425">
        <f>ELITE!K13</f>
        <v>0</v>
      </c>
      <c r="J88" s="425">
        <v>2</v>
      </c>
      <c r="K88" s="425">
        <f>I88*J88</f>
        <v>0</v>
      </c>
      <c r="L88" s="468">
        <f>J11</f>
        <v>4.2857142857142865</v>
      </c>
      <c r="M88" s="467">
        <f>$C$15</f>
        <v>0.546</v>
      </c>
      <c r="N88" s="468">
        <f>K88*L88*M88</f>
        <v>0</v>
      </c>
      <c r="O88" s="470">
        <f>N88</f>
        <v>0</v>
      </c>
      <c r="P88" s="482">
        <v>4</v>
      </c>
      <c r="Q88" s="484">
        <f>K88*P88</f>
        <v>0</v>
      </c>
      <c r="R88" s="486"/>
      <c r="S88" s="130"/>
      <c r="T88" s="130"/>
    </row>
    <row r="89" spans="1:20" ht="12.75">
      <c r="A89" s="393"/>
      <c r="B89" s="390"/>
      <c r="C89" s="390" t="s">
        <v>300</v>
      </c>
      <c r="D89" s="390"/>
      <c r="I89" s="425">
        <f>ELITE!K12</f>
        <v>0</v>
      </c>
      <c r="J89" s="425">
        <f>2</f>
        <v>2</v>
      </c>
      <c r="K89" s="425">
        <f>I89*J89</f>
        <v>0</v>
      </c>
      <c r="L89" s="468">
        <f>J13</f>
        <v>4</v>
      </c>
      <c r="M89" s="467">
        <f>$C$15</f>
        <v>0.546</v>
      </c>
      <c r="N89" s="468">
        <f>K89*L89*M89</f>
        <v>0</v>
      </c>
      <c r="O89" s="470"/>
      <c r="P89" s="482">
        <v>4</v>
      </c>
      <c r="Q89" s="484">
        <f>K89*P89</f>
        <v>0</v>
      </c>
      <c r="R89" s="486"/>
      <c r="S89" s="130"/>
      <c r="T89" s="130"/>
    </row>
    <row r="90" spans="1:20" ht="15.75">
      <c r="A90" s="393">
        <v>2</v>
      </c>
      <c r="B90" s="424" t="s">
        <v>539</v>
      </c>
      <c r="C90" s="390"/>
      <c r="D90" s="390"/>
      <c r="I90" s="425"/>
      <c r="J90" s="425"/>
      <c r="K90" s="425"/>
      <c r="L90" s="467"/>
      <c r="M90" s="467"/>
      <c r="N90" s="468"/>
      <c r="O90" s="469"/>
      <c r="P90" s="482"/>
      <c r="Q90" s="484"/>
      <c r="S90" s="130"/>
      <c r="T90" s="130"/>
    </row>
    <row r="91" spans="1:20" ht="15.75">
      <c r="A91" s="393"/>
      <c r="B91" s="424"/>
      <c r="C91" s="390" t="s">
        <v>540</v>
      </c>
      <c r="D91" s="390"/>
      <c r="I91" s="425">
        <f>ELITE!K5</f>
        <v>0</v>
      </c>
      <c r="J91" s="425">
        <v>2</v>
      </c>
      <c r="K91" s="425">
        <f aca="true" t="shared" si="16" ref="K91:K123">I91*J91</f>
        <v>0</v>
      </c>
      <c r="L91" s="467">
        <f>J19</f>
        <v>2.571428571428571</v>
      </c>
      <c r="M91" s="467">
        <f>$C$15</f>
        <v>0.546</v>
      </c>
      <c r="N91" s="468">
        <f aca="true" t="shared" si="17" ref="N91:N123">K91*L91*M91</f>
        <v>0</v>
      </c>
      <c r="O91" s="470">
        <f>N91</f>
        <v>0</v>
      </c>
      <c r="P91" s="482">
        <v>4</v>
      </c>
      <c r="Q91" s="484">
        <f aca="true" t="shared" si="18" ref="Q91:Q123">K91*P91</f>
        <v>0</v>
      </c>
      <c r="S91" s="130"/>
      <c r="T91" s="130"/>
    </row>
    <row r="92" spans="1:20" ht="15.75">
      <c r="A92" s="393"/>
      <c r="B92" s="424"/>
      <c r="C92" s="390" t="s">
        <v>541</v>
      </c>
      <c r="D92" s="390"/>
      <c r="I92" s="425">
        <f>ELITE!K8</f>
        <v>0</v>
      </c>
      <c r="J92" s="425">
        <v>3</v>
      </c>
      <c r="K92" s="425">
        <f t="shared" si="16"/>
        <v>0</v>
      </c>
      <c r="L92" s="467">
        <f>J15</f>
        <v>3.761904761904762</v>
      </c>
      <c r="M92" s="467">
        <f aca="true" t="shared" si="19" ref="M92:M123">$C$15</f>
        <v>0.546</v>
      </c>
      <c r="N92" s="468">
        <f t="shared" si="17"/>
        <v>0</v>
      </c>
      <c r="O92" s="470">
        <f aca="true" t="shared" si="20" ref="O92:O107">N92</f>
        <v>0</v>
      </c>
      <c r="P92" s="482">
        <v>4</v>
      </c>
      <c r="Q92" s="484">
        <f t="shared" si="18"/>
        <v>0</v>
      </c>
      <c r="S92" s="130"/>
      <c r="T92" s="130"/>
    </row>
    <row r="93" spans="1:20" ht="15.75">
      <c r="A93" s="393"/>
      <c r="B93" s="424"/>
      <c r="C93" s="390" t="s">
        <v>542</v>
      </c>
      <c r="D93" s="390"/>
      <c r="I93" s="425">
        <f>ELITE!K6</f>
        <v>0</v>
      </c>
      <c r="J93" s="425">
        <v>2</v>
      </c>
      <c r="K93" s="425">
        <f t="shared" si="16"/>
        <v>0</v>
      </c>
      <c r="L93" s="467">
        <f>J11</f>
        <v>4.2857142857142865</v>
      </c>
      <c r="M93" s="467">
        <f t="shared" si="19"/>
        <v>0.546</v>
      </c>
      <c r="N93" s="468">
        <f t="shared" si="17"/>
        <v>0</v>
      </c>
      <c r="O93" s="470">
        <f t="shared" si="20"/>
        <v>0</v>
      </c>
      <c r="P93" s="482">
        <v>1</v>
      </c>
      <c r="Q93" s="484">
        <f t="shared" si="18"/>
        <v>0</v>
      </c>
      <c r="S93" s="130"/>
      <c r="T93" s="130"/>
    </row>
    <row r="94" spans="1:20" ht="15.75">
      <c r="A94" s="393"/>
      <c r="B94" s="424"/>
      <c r="C94" s="390" t="s">
        <v>291</v>
      </c>
      <c r="D94" s="390"/>
      <c r="I94" s="425">
        <f>ELITE!K7</f>
        <v>0</v>
      </c>
      <c r="J94" s="425">
        <v>2</v>
      </c>
      <c r="K94" s="425">
        <f t="shared" si="16"/>
        <v>0</v>
      </c>
      <c r="L94" s="467">
        <f>J11</f>
        <v>4.2857142857142865</v>
      </c>
      <c r="M94" s="467">
        <f t="shared" si="19"/>
        <v>0.546</v>
      </c>
      <c r="N94" s="468">
        <f t="shared" si="17"/>
        <v>0</v>
      </c>
      <c r="O94" s="470">
        <f t="shared" si="20"/>
        <v>0</v>
      </c>
      <c r="P94" s="482">
        <v>1</v>
      </c>
      <c r="Q94" s="484">
        <f t="shared" si="18"/>
        <v>0</v>
      </c>
      <c r="S94" s="130"/>
      <c r="T94" s="130"/>
    </row>
    <row r="95" spans="1:20" ht="15.75">
      <c r="A95" s="393"/>
      <c r="B95" s="424"/>
      <c r="C95" s="390" t="s">
        <v>169</v>
      </c>
      <c r="D95" s="390"/>
      <c r="I95" s="425">
        <f>ELITE!K9</f>
        <v>0</v>
      </c>
      <c r="J95" s="425">
        <v>2</v>
      </c>
      <c r="K95" s="425">
        <f t="shared" si="16"/>
        <v>0</v>
      </c>
      <c r="L95" s="467">
        <f>J11</f>
        <v>4.2857142857142865</v>
      </c>
      <c r="M95" s="467">
        <f t="shared" si="19"/>
        <v>0.546</v>
      </c>
      <c r="N95" s="468">
        <f t="shared" si="17"/>
        <v>0</v>
      </c>
      <c r="O95" s="470">
        <f t="shared" si="20"/>
        <v>0</v>
      </c>
      <c r="P95" s="482">
        <v>1</v>
      </c>
      <c r="Q95" s="484">
        <f t="shared" si="18"/>
        <v>0</v>
      </c>
      <c r="S95" s="130"/>
      <c r="T95" s="130"/>
    </row>
    <row r="96" spans="1:20" ht="15.75">
      <c r="A96" s="393"/>
      <c r="B96" s="424"/>
      <c r="C96" s="111" t="s">
        <v>540</v>
      </c>
      <c r="D96" s="390"/>
      <c r="I96" s="425">
        <f>ELITE!L5</f>
        <v>0</v>
      </c>
      <c r="J96" s="425">
        <v>3</v>
      </c>
      <c r="K96" s="425">
        <f t="shared" si="16"/>
        <v>0</v>
      </c>
      <c r="L96" s="467">
        <f>L91</f>
        <v>2.571428571428571</v>
      </c>
      <c r="M96" s="467">
        <f t="shared" si="19"/>
        <v>0.546</v>
      </c>
      <c r="N96" s="468">
        <f t="shared" si="17"/>
        <v>0</v>
      </c>
      <c r="O96" s="470">
        <f t="shared" si="20"/>
        <v>0</v>
      </c>
      <c r="P96" s="482">
        <v>4</v>
      </c>
      <c r="Q96" s="484">
        <f t="shared" si="18"/>
        <v>0</v>
      </c>
      <c r="S96" s="130"/>
      <c r="T96" s="130"/>
    </row>
    <row r="97" spans="1:20" ht="15.75">
      <c r="A97" s="393"/>
      <c r="B97" s="424"/>
      <c r="C97" s="111" t="s">
        <v>541</v>
      </c>
      <c r="D97" s="390"/>
      <c r="I97" s="425">
        <f>ELITE!L8</f>
        <v>0</v>
      </c>
      <c r="J97" s="425">
        <v>4</v>
      </c>
      <c r="K97" s="425">
        <f t="shared" si="16"/>
        <v>0</v>
      </c>
      <c r="L97" s="467">
        <f>L92</f>
        <v>3.761904761904762</v>
      </c>
      <c r="M97" s="467">
        <f t="shared" si="19"/>
        <v>0.546</v>
      </c>
      <c r="N97" s="468">
        <f t="shared" si="17"/>
        <v>0</v>
      </c>
      <c r="O97" s="470">
        <f t="shared" si="20"/>
        <v>0</v>
      </c>
      <c r="P97" s="482">
        <v>4</v>
      </c>
      <c r="Q97" s="484">
        <f t="shared" si="18"/>
        <v>0</v>
      </c>
      <c r="S97" s="130"/>
      <c r="T97" s="130"/>
    </row>
    <row r="98" spans="1:20" ht="15.75">
      <c r="A98" s="393"/>
      <c r="B98" s="424"/>
      <c r="C98" s="111" t="s">
        <v>542</v>
      </c>
      <c r="D98" s="390"/>
      <c r="I98" s="425">
        <f>ELITE!L6</f>
        <v>0</v>
      </c>
      <c r="J98" s="425">
        <v>3</v>
      </c>
      <c r="K98" s="425">
        <f t="shared" si="16"/>
        <v>0</v>
      </c>
      <c r="L98" s="467">
        <f>L93</f>
        <v>4.2857142857142865</v>
      </c>
      <c r="M98" s="467">
        <f t="shared" si="19"/>
        <v>0.546</v>
      </c>
      <c r="N98" s="468">
        <f t="shared" si="17"/>
        <v>0</v>
      </c>
      <c r="O98" s="470">
        <f t="shared" si="20"/>
        <v>0</v>
      </c>
      <c r="P98" s="482">
        <v>1</v>
      </c>
      <c r="Q98" s="484">
        <f t="shared" si="18"/>
        <v>0</v>
      </c>
      <c r="S98" s="130"/>
      <c r="T98" s="130"/>
    </row>
    <row r="99" spans="1:20" ht="15.75">
      <c r="A99" s="393"/>
      <c r="B99" s="424"/>
      <c r="C99" s="111" t="s">
        <v>291</v>
      </c>
      <c r="D99" s="390"/>
      <c r="I99" s="425">
        <f>ELITE!L7</f>
        <v>0</v>
      </c>
      <c r="J99" s="425">
        <v>3</v>
      </c>
      <c r="K99" s="425">
        <f t="shared" si="16"/>
        <v>0</v>
      </c>
      <c r="L99" s="467">
        <f>L94</f>
        <v>4.2857142857142865</v>
      </c>
      <c r="M99" s="467">
        <f t="shared" si="19"/>
        <v>0.546</v>
      </c>
      <c r="N99" s="468">
        <f t="shared" si="17"/>
        <v>0</v>
      </c>
      <c r="O99" s="470">
        <f t="shared" si="20"/>
        <v>0</v>
      </c>
      <c r="P99" s="482">
        <v>1</v>
      </c>
      <c r="Q99" s="484">
        <f t="shared" si="18"/>
        <v>0</v>
      </c>
      <c r="S99" s="130"/>
      <c r="T99" s="130"/>
    </row>
    <row r="100" spans="1:20" ht="15.75">
      <c r="A100" s="393"/>
      <c r="B100" s="424"/>
      <c r="C100" s="111" t="s">
        <v>169</v>
      </c>
      <c r="D100" s="390"/>
      <c r="I100" s="425">
        <f>ELITE!L9</f>
        <v>0</v>
      </c>
      <c r="J100" s="425">
        <v>3</v>
      </c>
      <c r="K100" s="425">
        <f t="shared" si="16"/>
        <v>0</v>
      </c>
      <c r="L100" s="467">
        <f>L95</f>
        <v>4.2857142857142865</v>
      </c>
      <c r="M100" s="467">
        <f t="shared" si="19"/>
        <v>0.546</v>
      </c>
      <c r="N100" s="468">
        <f t="shared" si="17"/>
        <v>0</v>
      </c>
      <c r="O100" s="470">
        <f t="shared" si="20"/>
        <v>0</v>
      </c>
      <c r="P100" s="482">
        <v>1</v>
      </c>
      <c r="Q100" s="484">
        <f t="shared" si="18"/>
        <v>0</v>
      </c>
      <c r="S100" s="130"/>
      <c r="T100" s="130"/>
    </row>
    <row r="101" spans="1:20" ht="15.75">
      <c r="A101" s="393">
        <v>2</v>
      </c>
      <c r="B101" s="424" t="s">
        <v>307</v>
      </c>
      <c r="C101" s="111"/>
      <c r="D101" s="390"/>
      <c r="I101" s="425"/>
      <c r="J101" s="425"/>
      <c r="K101" s="425"/>
      <c r="L101" s="467"/>
      <c r="M101" s="467"/>
      <c r="N101" s="468"/>
      <c r="O101" s="470"/>
      <c r="P101" s="482"/>
      <c r="Q101" s="484"/>
      <c r="S101" s="130"/>
      <c r="T101" s="130"/>
    </row>
    <row r="102" spans="1:20" ht="15.75">
      <c r="A102" s="393"/>
      <c r="B102" s="424"/>
      <c r="C102" s="432" t="s">
        <v>300</v>
      </c>
      <c r="D102" s="390"/>
      <c r="I102" s="425">
        <f>ELITE!K34</f>
        <v>0</v>
      </c>
      <c r="J102" s="425">
        <v>1</v>
      </c>
      <c r="K102" s="425">
        <f t="shared" si="16"/>
        <v>0</v>
      </c>
      <c r="L102" s="467">
        <f>$J$19</f>
        <v>2.571428571428571</v>
      </c>
      <c r="M102" s="467">
        <f t="shared" si="19"/>
        <v>0.546</v>
      </c>
      <c r="N102" s="468">
        <f t="shared" si="17"/>
        <v>0</v>
      </c>
      <c r="O102" s="470"/>
      <c r="P102" s="482">
        <v>4</v>
      </c>
      <c r="Q102" s="484">
        <f t="shared" si="18"/>
        <v>0</v>
      </c>
      <c r="S102" s="130"/>
      <c r="T102" s="130"/>
    </row>
    <row r="103" spans="1:20" ht="15.75">
      <c r="A103" s="393"/>
      <c r="B103" s="424"/>
      <c r="C103" s="111" t="s">
        <v>546</v>
      </c>
      <c r="I103" s="425">
        <f>ELITE!K35</f>
        <v>0</v>
      </c>
      <c r="J103" s="425">
        <v>2</v>
      </c>
      <c r="K103" s="425">
        <f t="shared" si="16"/>
        <v>0</v>
      </c>
      <c r="L103" s="467">
        <f>$J$19</f>
        <v>2.571428571428571</v>
      </c>
      <c r="M103" s="467">
        <f t="shared" si="19"/>
        <v>0.546</v>
      </c>
      <c r="N103" s="468">
        <f t="shared" si="17"/>
        <v>0</v>
      </c>
      <c r="O103" s="470"/>
      <c r="P103" s="482">
        <v>4</v>
      </c>
      <c r="Q103" s="484">
        <f t="shared" si="18"/>
        <v>0</v>
      </c>
      <c r="S103" s="130"/>
      <c r="T103" s="130"/>
    </row>
    <row r="104" spans="1:20" ht="15.75">
      <c r="A104" s="393"/>
      <c r="B104" s="424"/>
      <c r="C104" s="111" t="s">
        <v>547</v>
      </c>
      <c r="I104" s="425">
        <f>ELITE!K36+ELITE!K37</f>
        <v>0</v>
      </c>
      <c r="J104" s="425">
        <v>2</v>
      </c>
      <c r="K104" s="425">
        <f t="shared" si="16"/>
        <v>0</v>
      </c>
      <c r="L104" s="467">
        <f>$J$19</f>
        <v>2.571428571428571</v>
      </c>
      <c r="M104" s="467">
        <f t="shared" si="19"/>
        <v>0.546</v>
      </c>
      <c r="N104" s="468">
        <f t="shared" si="17"/>
        <v>0</v>
      </c>
      <c r="O104" s="470"/>
      <c r="P104" s="482">
        <v>4</v>
      </c>
      <c r="Q104" s="484">
        <f t="shared" si="18"/>
        <v>0</v>
      </c>
      <c r="S104" s="130"/>
      <c r="T104" s="130"/>
    </row>
    <row r="105" spans="1:20" ht="15.75">
      <c r="A105" s="393"/>
      <c r="B105" s="424"/>
      <c r="C105" s="432" t="s">
        <v>548</v>
      </c>
      <c r="D105" s="390"/>
      <c r="I105" s="425">
        <f>ELITE!K38+ELITE!K39</f>
        <v>0</v>
      </c>
      <c r="J105" s="425">
        <v>3</v>
      </c>
      <c r="K105" s="425">
        <f t="shared" si="16"/>
        <v>0</v>
      </c>
      <c r="L105" s="467">
        <f>$J$19</f>
        <v>2.571428571428571</v>
      </c>
      <c r="M105" s="467">
        <f t="shared" si="19"/>
        <v>0.546</v>
      </c>
      <c r="N105" s="468">
        <f t="shared" si="17"/>
        <v>0</v>
      </c>
      <c r="O105" s="470"/>
      <c r="P105" s="482">
        <v>4</v>
      </c>
      <c r="Q105" s="484">
        <f t="shared" si="18"/>
        <v>0</v>
      </c>
      <c r="S105" s="130"/>
      <c r="T105" s="130"/>
    </row>
    <row r="106" spans="1:20" ht="15.75">
      <c r="A106" s="393"/>
      <c r="B106" s="424"/>
      <c r="C106" s="432" t="s">
        <v>549</v>
      </c>
      <c r="D106" s="390"/>
      <c r="I106" s="425">
        <f>ELITE!K40+ELITE!K41</f>
        <v>0</v>
      </c>
      <c r="J106" s="425">
        <v>3</v>
      </c>
      <c r="K106" s="425">
        <f t="shared" si="16"/>
        <v>0</v>
      </c>
      <c r="L106" s="467">
        <f>$J$19</f>
        <v>2.571428571428571</v>
      </c>
      <c r="M106" s="467">
        <f t="shared" si="19"/>
        <v>0.546</v>
      </c>
      <c r="N106" s="468">
        <f t="shared" si="17"/>
        <v>0</v>
      </c>
      <c r="O106" s="470">
        <f t="shared" si="20"/>
        <v>0</v>
      </c>
      <c r="P106" s="482">
        <v>4</v>
      </c>
      <c r="Q106" s="484">
        <f t="shared" si="18"/>
        <v>0</v>
      </c>
      <c r="S106" s="130"/>
      <c r="T106" s="130"/>
    </row>
    <row r="107" spans="1:20" ht="15.75">
      <c r="A107" s="393"/>
      <c r="B107" s="424"/>
      <c r="C107" s="432" t="s">
        <v>550</v>
      </c>
      <c r="D107" s="390"/>
      <c r="I107" s="425">
        <f>ELITE!K42+ELITE!K43</f>
        <v>0</v>
      </c>
      <c r="J107" s="425">
        <v>2</v>
      </c>
      <c r="K107" s="425">
        <f t="shared" si="16"/>
        <v>0</v>
      </c>
      <c r="L107" s="467">
        <f>J11</f>
        <v>4.2857142857142865</v>
      </c>
      <c r="M107" s="467">
        <f t="shared" si="19"/>
        <v>0.546</v>
      </c>
      <c r="N107" s="468">
        <f t="shared" si="17"/>
        <v>0</v>
      </c>
      <c r="O107" s="470">
        <f t="shared" si="20"/>
        <v>0</v>
      </c>
      <c r="P107" s="482">
        <v>1</v>
      </c>
      <c r="Q107" s="484">
        <f t="shared" si="18"/>
        <v>0</v>
      </c>
      <c r="S107" s="130"/>
      <c r="T107" s="130"/>
    </row>
    <row r="108" spans="1:20" ht="15.75">
      <c r="A108" s="393">
        <v>3</v>
      </c>
      <c r="B108" s="424" t="s">
        <v>301</v>
      </c>
      <c r="C108" s="432"/>
      <c r="D108" s="390"/>
      <c r="I108" s="425"/>
      <c r="J108" s="425"/>
      <c r="K108" s="425"/>
      <c r="L108" s="467"/>
      <c r="M108" s="467"/>
      <c r="N108" s="468"/>
      <c r="O108" s="470"/>
      <c r="P108" s="482"/>
      <c r="Q108" s="484"/>
      <c r="S108" s="130"/>
      <c r="T108" s="130"/>
    </row>
    <row r="109" spans="1:20" ht="15.75">
      <c r="A109" s="393"/>
      <c r="B109" s="424"/>
      <c r="C109" s="432" t="s">
        <v>266</v>
      </c>
      <c r="D109" s="390"/>
      <c r="I109" s="425">
        <f>ELITE!K23+ELITE!K25</f>
        <v>0</v>
      </c>
      <c r="J109" s="425">
        <v>2</v>
      </c>
      <c r="K109" s="425">
        <f t="shared" si="16"/>
        <v>0</v>
      </c>
      <c r="L109" s="467">
        <f>J19</f>
        <v>2.571428571428571</v>
      </c>
      <c r="M109" s="467">
        <f t="shared" si="19"/>
        <v>0.546</v>
      </c>
      <c r="N109" s="468">
        <f t="shared" si="17"/>
        <v>0</v>
      </c>
      <c r="O109" s="470">
        <f>N109</f>
        <v>0</v>
      </c>
      <c r="P109" s="482">
        <v>4</v>
      </c>
      <c r="Q109" s="484">
        <f t="shared" si="18"/>
        <v>0</v>
      </c>
      <c r="S109" s="130"/>
      <c r="T109" s="130"/>
    </row>
    <row r="110" spans="1:20" ht="15.75">
      <c r="A110" s="393"/>
      <c r="B110" s="424"/>
      <c r="C110" s="432" t="s">
        <v>555</v>
      </c>
      <c r="D110" s="390"/>
      <c r="I110" s="425">
        <f>ELITE!K24+ELITE!K26</f>
        <v>0</v>
      </c>
      <c r="J110" s="425">
        <v>3</v>
      </c>
      <c r="K110" s="425">
        <f t="shared" si="16"/>
        <v>0</v>
      </c>
      <c r="L110" s="467">
        <f>J19</f>
        <v>2.571428571428571</v>
      </c>
      <c r="M110" s="467">
        <f t="shared" si="19"/>
        <v>0.546</v>
      </c>
      <c r="N110" s="468">
        <f t="shared" si="17"/>
        <v>0</v>
      </c>
      <c r="O110" s="470">
        <f aca="true" t="shared" si="21" ref="O110:O123">N110</f>
        <v>0</v>
      </c>
      <c r="P110" s="482">
        <v>4</v>
      </c>
      <c r="Q110" s="484">
        <f t="shared" si="18"/>
        <v>0</v>
      </c>
      <c r="S110" s="130"/>
      <c r="T110" s="130"/>
    </row>
    <row r="111" spans="1:20" ht="15.75">
      <c r="A111" s="393"/>
      <c r="B111" s="424"/>
      <c r="C111" s="432" t="s">
        <v>552</v>
      </c>
      <c r="D111" s="390"/>
      <c r="I111" s="425">
        <f>ELITE!K23+ELITE!K24</f>
        <v>0</v>
      </c>
      <c r="J111" s="425">
        <v>1</v>
      </c>
      <c r="K111" s="425">
        <f t="shared" si="16"/>
        <v>0</v>
      </c>
      <c r="L111" s="467">
        <f>J11</f>
        <v>4.2857142857142865</v>
      </c>
      <c r="M111" s="467">
        <f t="shared" si="19"/>
        <v>0.546</v>
      </c>
      <c r="N111" s="468">
        <f t="shared" si="17"/>
        <v>0</v>
      </c>
      <c r="O111" s="470">
        <f t="shared" si="21"/>
        <v>0</v>
      </c>
      <c r="P111" s="482">
        <v>1</v>
      </c>
      <c r="Q111" s="484">
        <f t="shared" si="18"/>
        <v>0</v>
      </c>
      <c r="S111" s="130"/>
      <c r="T111" s="130"/>
    </row>
    <row r="112" spans="1:20" ht="15.75">
      <c r="A112" s="393"/>
      <c r="B112" s="424"/>
      <c r="C112" s="432" t="s">
        <v>558</v>
      </c>
      <c r="D112" s="390"/>
      <c r="I112" s="425">
        <f>ELITE!K25+ELITE!K26</f>
        <v>0</v>
      </c>
      <c r="J112" s="425">
        <v>2</v>
      </c>
      <c r="K112" s="425">
        <f t="shared" si="16"/>
        <v>0</v>
      </c>
      <c r="L112" s="467">
        <f>J11</f>
        <v>4.2857142857142865</v>
      </c>
      <c r="M112" s="467">
        <f t="shared" si="19"/>
        <v>0.546</v>
      </c>
      <c r="N112" s="468">
        <f t="shared" si="17"/>
        <v>0</v>
      </c>
      <c r="O112" s="470">
        <f t="shared" si="21"/>
        <v>0</v>
      </c>
      <c r="P112" s="482">
        <v>1</v>
      </c>
      <c r="Q112" s="484">
        <f t="shared" si="18"/>
        <v>0</v>
      </c>
      <c r="S112" s="130"/>
      <c r="T112" s="130"/>
    </row>
    <row r="113" spans="1:20" ht="15.75">
      <c r="A113" s="393"/>
      <c r="B113" s="424"/>
      <c r="C113" s="432" t="s">
        <v>553</v>
      </c>
      <c r="D113" s="390"/>
      <c r="I113" s="425">
        <f>ELITE!H29+ELITE!H30+ELITE!H31+ELITE!K27</f>
        <v>0</v>
      </c>
      <c r="J113" s="425">
        <v>1</v>
      </c>
      <c r="K113" s="425">
        <f t="shared" si="16"/>
        <v>0</v>
      </c>
      <c r="L113" s="467">
        <f>J22</f>
        <v>1.7142857142857142</v>
      </c>
      <c r="M113" s="467">
        <f t="shared" si="19"/>
        <v>0.546</v>
      </c>
      <c r="N113" s="468">
        <f t="shared" si="17"/>
        <v>0</v>
      </c>
      <c r="O113" s="470"/>
      <c r="P113" s="482">
        <v>3</v>
      </c>
      <c r="Q113" s="484">
        <f t="shared" si="18"/>
        <v>0</v>
      </c>
      <c r="S113" s="130"/>
      <c r="T113" s="130"/>
    </row>
    <row r="114" spans="1:20" ht="15.75">
      <c r="A114" s="393"/>
      <c r="B114" s="424"/>
      <c r="C114" s="432" t="s">
        <v>554</v>
      </c>
      <c r="D114" s="390"/>
      <c r="I114" s="425">
        <f>ELITE!K27</f>
        <v>0</v>
      </c>
      <c r="J114" s="425">
        <v>1</v>
      </c>
      <c r="K114" s="425">
        <f t="shared" si="16"/>
        <v>0</v>
      </c>
      <c r="L114" s="467">
        <f>J11</f>
        <v>4.2857142857142865</v>
      </c>
      <c r="M114" s="467">
        <f t="shared" si="19"/>
        <v>0.546</v>
      </c>
      <c r="N114" s="468">
        <f t="shared" si="17"/>
        <v>0</v>
      </c>
      <c r="O114" s="470">
        <f t="shared" si="21"/>
        <v>0</v>
      </c>
      <c r="P114" s="482">
        <v>1</v>
      </c>
      <c r="Q114" s="484">
        <f t="shared" si="18"/>
        <v>0</v>
      </c>
      <c r="S114" s="130"/>
      <c r="T114" s="130"/>
    </row>
    <row r="115" spans="1:20" ht="15.75">
      <c r="A115" s="393">
        <v>3</v>
      </c>
      <c r="B115" s="424" t="s">
        <v>308</v>
      </c>
      <c r="C115" s="432"/>
      <c r="D115" s="390"/>
      <c r="I115" s="425"/>
      <c r="J115" s="425"/>
      <c r="K115" s="425"/>
      <c r="L115" s="467"/>
      <c r="M115" s="467"/>
      <c r="N115" s="468"/>
      <c r="O115" s="470"/>
      <c r="P115" s="482"/>
      <c r="Q115" s="484"/>
      <c r="S115" s="130"/>
      <c r="T115" s="130"/>
    </row>
    <row r="116" spans="1:20" ht="15.75">
      <c r="A116" s="393"/>
      <c r="B116" s="424"/>
      <c r="C116" s="432" t="s">
        <v>300</v>
      </c>
      <c r="D116" s="390"/>
      <c r="I116" s="425">
        <f>ELITE!K46+ELITE!K47</f>
        <v>0</v>
      </c>
      <c r="J116" s="425">
        <v>2</v>
      </c>
      <c r="K116" s="425">
        <f t="shared" si="16"/>
        <v>0</v>
      </c>
      <c r="L116" s="467">
        <f>$J$19</f>
        <v>2.571428571428571</v>
      </c>
      <c r="M116" s="467">
        <f t="shared" si="19"/>
        <v>0.546</v>
      </c>
      <c r="N116" s="468">
        <f t="shared" si="17"/>
        <v>0</v>
      </c>
      <c r="O116" s="470"/>
      <c r="P116" s="482">
        <v>4</v>
      </c>
      <c r="Q116" s="484">
        <f t="shared" si="18"/>
        <v>0</v>
      </c>
      <c r="S116" s="130"/>
      <c r="T116" s="130"/>
    </row>
    <row r="117" spans="1:20" ht="15.75">
      <c r="A117" s="393"/>
      <c r="B117" s="424"/>
      <c r="C117" s="432" t="s">
        <v>528</v>
      </c>
      <c r="D117" s="390"/>
      <c r="I117" s="425">
        <f>ELITE!K48+ELITE!K49</f>
        <v>0</v>
      </c>
      <c r="J117" s="425">
        <v>3</v>
      </c>
      <c r="K117" s="425">
        <f t="shared" si="16"/>
        <v>0</v>
      </c>
      <c r="L117" s="467">
        <f>$J$19</f>
        <v>2.571428571428571</v>
      </c>
      <c r="M117" s="467">
        <f t="shared" si="19"/>
        <v>0.546</v>
      </c>
      <c r="N117" s="468">
        <f t="shared" si="17"/>
        <v>0</v>
      </c>
      <c r="O117" s="470"/>
      <c r="P117" s="482">
        <v>4</v>
      </c>
      <c r="Q117" s="484">
        <f t="shared" si="18"/>
        <v>0</v>
      </c>
      <c r="S117" s="130"/>
      <c r="T117" s="130"/>
    </row>
    <row r="118" spans="1:20" ht="15.75">
      <c r="A118" s="393"/>
      <c r="B118" s="424"/>
      <c r="C118" s="432" t="s">
        <v>529</v>
      </c>
      <c r="D118" s="390"/>
      <c r="I118" s="425">
        <f>ELITE!K50+ELITE!K51</f>
        <v>0</v>
      </c>
      <c r="J118" s="425">
        <v>2</v>
      </c>
      <c r="K118" s="425">
        <f t="shared" si="16"/>
        <v>0</v>
      </c>
      <c r="L118" s="467">
        <f>$J$19</f>
        <v>2.571428571428571</v>
      </c>
      <c r="M118" s="467">
        <f t="shared" si="19"/>
        <v>0.546</v>
      </c>
      <c r="N118" s="468">
        <f t="shared" si="17"/>
        <v>0</v>
      </c>
      <c r="O118" s="470">
        <f t="shared" si="21"/>
        <v>0</v>
      </c>
      <c r="P118" s="482">
        <v>4</v>
      </c>
      <c r="Q118" s="484">
        <f t="shared" si="18"/>
        <v>0</v>
      </c>
      <c r="S118" s="130"/>
      <c r="T118" s="130"/>
    </row>
    <row r="119" spans="1:20" ht="15.75">
      <c r="A119" s="393"/>
      <c r="B119" s="424"/>
      <c r="C119" s="432" t="s">
        <v>492</v>
      </c>
      <c r="D119" s="390"/>
      <c r="I119" s="425">
        <f>ELITE!K52+ELITE!K53</f>
        <v>0</v>
      </c>
      <c r="J119" s="425">
        <v>3</v>
      </c>
      <c r="K119" s="425">
        <f t="shared" si="16"/>
        <v>0</v>
      </c>
      <c r="L119" s="467">
        <f>$J$19</f>
        <v>2.571428571428571</v>
      </c>
      <c r="M119" s="467">
        <f t="shared" si="19"/>
        <v>0.546</v>
      </c>
      <c r="N119" s="468">
        <f t="shared" si="17"/>
        <v>0</v>
      </c>
      <c r="O119" s="470">
        <f t="shared" si="21"/>
        <v>0</v>
      </c>
      <c r="P119" s="482">
        <v>4</v>
      </c>
      <c r="Q119" s="484">
        <f t="shared" si="18"/>
        <v>0</v>
      </c>
      <c r="S119" s="130"/>
      <c r="T119" s="130"/>
    </row>
    <row r="120" spans="1:20" ht="15.75">
      <c r="A120" s="393"/>
      <c r="B120" s="424"/>
      <c r="C120" s="432" t="s">
        <v>504</v>
      </c>
      <c r="D120" s="390"/>
      <c r="I120" s="425">
        <f>ELITE!K54+ELITE!K55</f>
        <v>0</v>
      </c>
      <c r="J120" s="425">
        <v>2</v>
      </c>
      <c r="K120" s="425">
        <f t="shared" si="16"/>
        <v>0</v>
      </c>
      <c r="L120" s="467">
        <f>J11</f>
        <v>4.2857142857142865</v>
      </c>
      <c r="M120" s="467">
        <f t="shared" si="19"/>
        <v>0.546</v>
      </c>
      <c r="N120" s="468">
        <f t="shared" si="17"/>
        <v>0</v>
      </c>
      <c r="O120" s="470">
        <f t="shared" si="21"/>
        <v>0</v>
      </c>
      <c r="P120" s="482">
        <v>1</v>
      </c>
      <c r="Q120" s="484">
        <f t="shared" si="18"/>
        <v>0</v>
      </c>
      <c r="S120" s="130"/>
      <c r="T120" s="130"/>
    </row>
    <row r="121" spans="1:20" ht="15.75">
      <c r="A121" s="393"/>
      <c r="B121" s="424"/>
      <c r="C121" s="432" t="s">
        <v>268</v>
      </c>
      <c r="D121" s="390"/>
      <c r="I121" s="425">
        <f>ELITE!K56+ELITE!K57</f>
        <v>0</v>
      </c>
      <c r="J121" s="425">
        <v>2</v>
      </c>
      <c r="K121" s="425">
        <f t="shared" si="16"/>
        <v>0</v>
      </c>
      <c r="L121" s="467">
        <f>$J$15</f>
        <v>3.761904761904762</v>
      </c>
      <c r="M121" s="467">
        <f t="shared" si="19"/>
        <v>0.546</v>
      </c>
      <c r="N121" s="468">
        <f t="shared" si="17"/>
        <v>0</v>
      </c>
      <c r="O121" s="470">
        <f t="shared" si="21"/>
        <v>0</v>
      </c>
      <c r="P121" s="482">
        <v>4</v>
      </c>
      <c r="Q121" s="484">
        <f t="shared" si="18"/>
        <v>0</v>
      </c>
      <c r="S121" s="130"/>
      <c r="T121" s="130"/>
    </row>
    <row r="122" spans="1:20" ht="15.75">
      <c r="A122" s="393"/>
      <c r="B122" s="424"/>
      <c r="C122" s="432" t="s">
        <v>541</v>
      </c>
      <c r="D122" s="390"/>
      <c r="I122" s="425">
        <f>ELITE!K58+ELITE!K59</f>
        <v>0</v>
      </c>
      <c r="J122" s="425">
        <v>3</v>
      </c>
      <c r="K122" s="425">
        <f t="shared" si="16"/>
        <v>0</v>
      </c>
      <c r="L122" s="467">
        <f>$J$15</f>
        <v>3.761904761904762</v>
      </c>
      <c r="M122" s="467">
        <f t="shared" si="19"/>
        <v>0.546</v>
      </c>
      <c r="N122" s="468">
        <f t="shared" si="17"/>
        <v>0</v>
      </c>
      <c r="O122" s="470">
        <f t="shared" si="21"/>
        <v>0</v>
      </c>
      <c r="P122" s="482">
        <v>4</v>
      </c>
      <c r="Q122" s="484">
        <f t="shared" si="18"/>
        <v>0</v>
      </c>
      <c r="S122" s="130"/>
      <c r="T122" s="130"/>
    </row>
    <row r="123" spans="1:20" ht="15.75">
      <c r="A123" s="393"/>
      <c r="B123" s="424"/>
      <c r="C123" s="432" t="s">
        <v>169</v>
      </c>
      <c r="D123" s="390"/>
      <c r="I123" s="425">
        <f>ELITE!K60+ELITE!K61</f>
        <v>0</v>
      </c>
      <c r="J123" s="425">
        <v>2</v>
      </c>
      <c r="K123" s="425">
        <f t="shared" si="16"/>
        <v>0</v>
      </c>
      <c r="L123" s="467">
        <f>J11</f>
        <v>4.2857142857142865</v>
      </c>
      <c r="M123" s="467">
        <f t="shared" si="19"/>
        <v>0.546</v>
      </c>
      <c r="N123" s="468">
        <f t="shared" si="17"/>
        <v>0</v>
      </c>
      <c r="O123" s="470">
        <f t="shared" si="21"/>
        <v>0</v>
      </c>
      <c r="P123" s="482">
        <v>1</v>
      </c>
      <c r="Q123" s="484">
        <f t="shared" si="18"/>
        <v>0</v>
      </c>
      <c r="S123" s="130"/>
      <c r="T123" s="130"/>
    </row>
    <row r="124" spans="1:20" ht="15.75">
      <c r="A124" s="393"/>
      <c r="B124" s="424"/>
      <c r="C124" s="432"/>
      <c r="D124" s="390"/>
      <c r="I124" s="425"/>
      <c r="J124" s="425"/>
      <c r="K124" s="425"/>
      <c r="L124" s="467"/>
      <c r="M124" s="467"/>
      <c r="N124" s="468"/>
      <c r="O124" s="470"/>
      <c r="P124" s="482"/>
      <c r="Q124" s="484"/>
      <c r="S124" s="130"/>
      <c r="T124" s="130"/>
    </row>
    <row r="125" spans="1:20" ht="15.75">
      <c r="A125" s="393"/>
      <c r="B125" s="424"/>
      <c r="C125" s="432"/>
      <c r="D125" s="390"/>
      <c r="I125" s="425"/>
      <c r="J125" s="425"/>
      <c r="K125" s="425"/>
      <c r="L125" s="467"/>
      <c r="M125" s="467"/>
      <c r="N125" s="468"/>
      <c r="O125" s="470"/>
      <c r="P125" s="482"/>
      <c r="Q125" s="484"/>
      <c r="S125" s="130"/>
      <c r="T125" s="130"/>
    </row>
    <row r="126" spans="1:20" ht="13.5" thickBot="1">
      <c r="A126" s="393">
        <v>3</v>
      </c>
      <c r="B126" s="390"/>
      <c r="C126" s="390"/>
      <c r="D126" s="390"/>
      <c r="I126" s="425"/>
      <c r="J126" s="425"/>
      <c r="K126" s="425">
        <f>I126*J126</f>
        <v>0</v>
      </c>
      <c r="L126" s="467"/>
      <c r="M126" s="467"/>
      <c r="N126" s="468"/>
      <c r="O126" s="469"/>
      <c r="P126" s="482"/>
      <c r="Q126" s="483"/>
      <c r="S126" s="16"/>
      <c r="T126" s="16"/>
    </row>
    <row r="127" spans="1:23" ht="13.5" thickBot="1">
      <c r="A127" s="395"/>
      <c r="B127" s="388" t="s">
        <v>15</v>
      </c>
      <c r="C127" s="388"/>
      <c r="D127" s="398"/>
      <c r="E127" s="398"/>
      <c r="F127" s="398"/>
      <c r="G127" s="398"/>
      <c r="H127" s="428"/>
      <c r="I127" s="381">
        <f>SUM(I128:I143)</f>
        <v>0</v>
      </c>
      <c r="J127" s="381"/>
      <c r="K127" s="381">
        <f>SUM(K128:K143)</f>
        <v>0</v>
      </c>
      <c r="L127" s="436">
        <f>SUM(L128:L143)</f>
        <v>35.99999999999999</v>
      </c>
      <c r="M127" s="436">
        <f>SUM(M128:M143)</f>
        <v>6.552000000000002</v>
      </c>
      <c r="N127" s="471">
        <f>SUM(N128:N143)</f>
        <v>0</v>
      </c>
      <c r="O127" s="471">
        <f>SUM(O128:O143)</f>
        <v>0</v>
      </c>
      <c r="P127" s="485"/>
      <c r="Q127" s="471">
        <f>SUM(Q128:Q143)</f>
        <v>0</v>
      </c>
      <c r="R127" s="113"/>
      <c r="S127" s="17"/>
      <c r="T127" s="17"/>
      <c r="U127" s="47"/>
      <c r="V127" s="47"/>
      <c r="W127" s="47"/>
    </row>
    <row r="128" spans="1:25" ht="15.75">
      <c r="A128" s="393">
        <v>1</v>
      </c>
      <c r="B128" s="424" t="s">
        <v>443</v>
      </c>
      <c r="C128" s="390"/>
      <c r="D128" s="432"/>
      <c r="I128" s="425"/>
      <c r="J128" s="425"/>
      <c r="K128" s="425"/>
      <c r="L128" s="467"/>
      <c r="M128" s="467"/>
      <c r="N128" s="468"/>
      <c r="O128" s="469"/>
      <c r="P128" s="482"/>
      <c r="Q128" s="483"/>
      <c r="R128" s="113"/>
      <c r="S128" s="17"/>
      <c r="T128" s="17"/>
      <c r="U128" s="17"/>
      <c r="V128" s="17"/>
      <c r="W128" s="17"/>
      <c r="X128" s="16"/>
      <c r="Y128" s="16"/>
    </row>
    <row r="129" spans="1:25" ht="12.75">
      <c r="A129" s="393"/>
      <c r="B129" s="432"/>
      <c r="C129" s="390" t="s">
        <v>566</v>
      </c>
      <c r="D129" s="432"/>
      <c r="I129" s="425">
        <f>'A.RAPIDO'!K5</f>
        <v>0</v>
      </c>
      <c r="J129" s="425">
        <v>2</v>
      </c>
      <c r="K129" s="425">
        <f>J129*(I129)</f>
        <v>0</v>
      </c>
      <c r="L129" s="467">
        <f>$J$19</f>
        <v>2.571428571428571</v>
      </c>
      <c r="M129" s="467">
        <f>$C$15</f>
        <v>0.546</v>
      </c>
      <c r="N129" s="468">
        <f>K129*L129*M129</f>
        <v>0</v>
      </c>
      <c r="O129" s="469"/>
      <c r="P129" s="482">
        <v>4</v>
      </c>
      <c r="Q129" s="483">
        <f>K129*P129</f>
        <v>0</v>
      </c>
      <c r="R129" s="487"/>
      <c r="S129" s="48"/>
      <c r="T129" s="48"/>
      <c r="U129" s="48"/>
      <c r="V129" s="48"/>
      <c r="W129" s="48"/>
      <c r="X129" s="16"/>
      <c r="Y129" s="16"/>
    </row>
    <row r="130" spans="1:25" ht="12.75">
      <c r="A130" s="393"/>
      <c r="B130" s="432"/>
      <c r="C130" s="390" t="s">
        <v>563</v>
      </c>
      <c r="D130" s="432"/>
      <c r="I130" s="425">
        <f>'A.RAPIDO'!K6+'A.RAPIDO'!K7</f>
        <v>0</v>
      </c>
      <c r="J130" s="425">
        <v>3</v>
      </c>
      <c r="K130" s="425">
        <f>J130*(I130)</f>
        <v>0</v>
      </c>
      <c r="L130" s="467">
        <f>$J$19</f>
        <v>2.571428571428571</v>
      </c>
      <c r="M130" s="467">
        <f aca="true" t="shared" si="22" ref="M130:M141">$C$15</f>
        <v>0.546</v>
      </c>
      <c r="N130" s="468">
        <f aca="true" t="shared" si="23" ref="N130:N141">K130*L130*M130</f>
        <v>0</v>
      </c>
      <c r="O130" s="469"/>
      <c r="P130" s="482">
        <v>4</v>
      </c>
      <c r="Q130" s="483">
        <f aca="true" t="shared" si="24" ref="Q130:Q141">K130*P130</f>
        <v>0</v>
      </c>
      <c r="R130" s="487"/>
      <c r="S130" s="48"/>
      <c r="T130" s="48"/>
      <c r="U130" s="48"/>
      <c r="V130" s="48"/>
      <c r="W130" s="48"/>
      <c r="X130" s="16"/>
      <c r="Y130" s="16"/>
    </row>
    <row r="131" spans="1:25" ht="12.75">
      <c r="A131" s="393"/>
      <c r="B131" s="432"/>
      <c r="C131" s="432" t="s">
        <v>492</v>
      </c>
      <c r="D131" s="432"/>
      <c r="I131" s="425">
        <f>'A.RAPIDO'!K8+'A.RAPIDO'!K9</f>
        <v>0</v>
      </c>
      <c r="J131" s="425">
        <v>3</v>
      </c>
      <c r="K131" s="425">
        <f>J131*(I131)</f>
        <v>0</v>
      </c>
      <c r="L131" s="467">
        <f>$J$19</f>
        <v>2.571428571428571</v>
      </c>
      <c r="M131" s="467">
        <f t="shared" si="22"/>
        <v>0.546</v>
      </c>
      <c r="N131" s="468">
        <f t="shared" si="23"/>
        <v>0</v>
      </c>
      <c r="O131" s="470">
        <f>N131</f>
        <v>0</v>
      </c>
      <c r="P131" s="482">
        <v>4</v>
      </c>
      <c r="Q131" s="483">
        <f t="shared" si="24"/>
        <v>0</v>
      </c>
      <c r="R131" s="487"/>
      <c r="S131" s="48"/>
      <c r="T131" s="48"/>
      <c r="U131" s="48"/>
      <c r="V131" s="48"/>
      <c r="W131" s="48"/>
      <c r="X131" s="16"/>
      <c r="Y131" s="16"/>
    </row>
    <row r="132" spans="1:25" ht="12.75">
      <c r="A132" s="393"/>
      <c r="B132" s="432"/>
      <c r="C132" s="432" t="s">
        <v>504</v>
      </c>
      <c r="D132" s="432"/>
      <c r="I132" s="425">
        <f>'A.RAPIDO'!K10+'A.RAPIDO'!K11</f>
        <v>0</v>
      </c>
      <c r="J132" s="425">
        <v>2</v>
      </c>
      <c r="K132" s="425">
        <f>J132*(I132)</f>
        <v>0</v>
      </c>
      <c r="L132" s="467">
        <f>J11</f>
        <v>4.2857142857142865</v>
      </c>
      <c r="M132" s="467">
        <f t="shared" si="22"/>
        <v>0.546</v>
      </c>
      <c r="N132" s="468">
        <f t="shared" si="23"/>
        <v>0</v>
      </c>
      <c r="O132" s="470">
        <f>N132</f>
        <v>0</v>
      </c>
      <c r="P132" s="482">
        <v>1</v>
      </c>
      <c r="Q132" s="483">
        <f t="shared" si="24"/>
        <v>0</v>
      </c>
      <c r="R132" s="487"/>
      <c r="S132" s="48"/>
      <c r="T132" s="48"/>
      <c r="U132" s="48"/>
      <c r="V132" s="48"/>
      <c r="W132" s="48"/>
      <c r="X132" s="16"/>
      <c r="Y132" s="16"/>
    </row>
    <row r="133" spans="1:25" ht="15.75">
      <c r="A133" s="393">
        <v>2</v>
      </c>
      <c r="B133" s="424" t="s">
        <v>444</v>
      </c>
      <c r="C133" s="390"/>
      <c r="D133" s="390"/>
      <c r="I133" s="425"/>
      <c r="J133" s="425"/>
      <c r="K133" s="425"/>
      <c r="L133" s="467"/>
      <c r="M133" s="467"/>
      <c r="N133" s="468"/>
      <c r="O133" s="469"/>
      <c r="P133" s="482"/>
      <c r="Q133" s="483"/>
      <c r="R133" s="487"/>
      <c r="S133" s="48"/>
      <c r="T133" s="48"/>
      <c r="U133" s="49"/>
      <c r="V133" s="48"/>
      <c r="W133" s="48"/>
      <c r="X133" s="16"/>
      <c r="Y133" s="16"/>
    </row>
    <row r="134" spans="1:25" ht="15.75">
      <c r="A134" s="393"/>
      <c r="B134" s="424"/>
      <c r="C134" s="390" t="s">
        <v>576</v>
      </c>
      <c r="D134" s="390"/>
      <c r="I134" s="425">
        <f>'A.RAPIDO'!K16</f>
        <v>0</v>
      </c>
      <c r="J134" s="425">
        <v>1</v>
      </c>
      <c r="K134" s="425">
        <f aca="true" t="shared" si="25" ref="K134:K141">J134*(I134)</f>
        <v>0</v>
      </c>
      <c r="L134" s="467">
        <f>$J$19</f>
        <v>2.571428571428571</v>
      </c>
      <c r="M134" s="467">
        <f t="shared" si="22"/>
        <v>0.546</v>
      </c>
      <c r="N134" s="468">
        <f t="shared" si="23"/>
        <v>0</v>
      </c>
      <c r="O134" s="469"/>
      <c r="P134" s="482">
        <v>4</v>
      </c>
      <c r="Q134" s="483">
        <f t="shared" si="24"/>
        <v>0</v>
      </c>
      <c r="R134" s="487"/>
      <c r="S134" s="48"/>
      <c r="T134" s="48"/>
      <c r="U134" s="49"/>
      <c r="V134" s="48"/>
      <c r="W134" s="48"/>
      <c r="X134" s="16"/>
      <c r="Y134" s="16"/>
    </row>
    <row r="135" spans="1:25" ht="15.75">
      <c r="A135" s="393"/>
      <c r="B135" s="424"/>
      <c r="C135" s="390" t="s">
        <v>563</v>
      </c>
      <c r="D135" s="390"/>
      <c r="I135" s="425">
        <f>'A.RAPIDO'!K17+'A.RAPIDO'!K18</f>
        <v>0</v>
      </c>
      <c r="J135" s="425">
        <v>2</v>
      </c>
      <c r="K135" s="425">
        <f t="shared" si="25"/>
        <v>0</v>
      </c>
      <c r="L135" s="467">
        <f aca="true" t="shared" si="26" ref="L135:L140">$J$19</f>
        <v>2.571428571428571</v>
      </c>
      <c r="M135" s="467">
        <f t="shared" si="22"/>
        <v>0.546</v>
      </c>
      <c r="N135" s="468">
        <f t="shared" si="23"/>
        <v>0</v>
      </c>
      <c r="O135" s="469"/>
      <c r="P135" s="482">
        <v>4</v>
      </c>
      <c r="Q135" s="483">
        <f t="shared" si="24"/>
        <v>0</v>
      </c>
      <c r="R135" s="487"/>
      <c r="S135" s="48"/>
      <c r="T135" s="48"/>
      <c r="U135" s="49"/>
      <c r="V135" s="48"/>
      <c r="W135" s="48"/>
      <c r="X135" s="16"/>
      <c r="Y135" s="16"/>
    </row>
    <row r="136" spans="1:25" ht="15.75">
      <c r="A136" s="393"/>
      <c r="B136" s="424"/>
      <c r="C136" s="432" t="s">
        <v>492</v>
      </c>
      <c r="D136" s="390"/>
      <c r="I136" s="425">
        <f>'A.RAPIDO'!K19+'A.RAPIDO'!K20</f>
        <v>0</v>
      </c>
      <c r="J136" s="425">
        <v>3</v>
      </c>
      <c r="K136" s="425">
        <f t="shared" si="25"/>
        <v>0</v>
      </c>
      <c r="L136" s="467">
        <f t="shared" si="26"/>
        <v>2.571428571428571</v>
      </c>
      <c r="M136" s="467">
        <f t="shared" si="22"/>
        <v>0.546</v>
      </c>
      <c r="N136" s="468">
        <f t="shared" si="23"/>
        <v>0</v>
      </c>
      <c r="O136" s="470">
        <f>N136</f>
        <v>0</v>
      </c>
      <c r="P136" s="482">
        <v>4</v>
      </c>
      <c r="Q136" s="483">
        <f t="shared" si="24"/>
        <v>0</v>
      </c>
      <c r="R136" s="487"/>
      <c r="S136" s="48"/>
      <c r="T136" s="48"/>
      <c r="U136" s="49"/>
      <c r="V136" s="48"/>
      <c r="W136" s="48"/>
      <c r="X136" s="16"/>
      <c r="Y136" s="16"/>
    </row>
    <row r="137" spans="1:25" ht="15.75">
      <c r="A137" s="393"/>
      <c r="B137" s="424"/>
      <c r="C137" s="432" t="s">
        <v>504</v>
      </c>
      <c r="D137" s="390"/>
      <c r="I137" s="425">
        <f>'A.RAPIDO'!K21+'A.RAPIDO'!K22</f>
        <v>0</v>
      </c>
      <c r="J137" s="425">
        <v>2</v>
      </c>
      <c r="K137" s="425">
        <f t="shared" si="25"/>
        <v>0</v>
      </c>
      <c r="L137" s="467">
        <f>J11</f>
        <v>4.2857142857142865</v>
      </c>
      <c r="M137" s="467">
        <f t="shared" si="22"/>
        <v>0.546</v>
      </c>
      <c r="N137" s="468">
        <f t="shared" si="23"/>
        <v>0</v>
      </c>
      <c r="O137" s="470">
        <f>N137</f>
        <v>0</v>
      </c>
      <c r="P137" s="482">
        <v>1</v>
      </c>
      <c r="Q137" s="483">
        <f t="shared" si="24"/>
        <v>0</v>
      </c>
      <c r="R137" s="487"/>
      <c r="S137" s="48"/>
      <c r="T137" s="48"/>
      <c r="U137" s="49"/>
      <c r="V137" s="48"/>
      <c r="W137" s="48"/>
      <c r="X137" s="16"/>
      <c r="Y137" s="16"/>
    </row>
    <row r="138" spans="1:25" ht="15.75">
      <c r="A138" s="393"/>
      <c r="B138" s="424"/>
      <c r="C138" s="111" t="s">
        <v>576</v>
      </c>
      <c r="D138" s="390"/>
      <c r="I138" s="425">
        <f>'A.RAPIDO'!L16</f>
        <v>0</v>
      </c>
      <c r="J138" s="425">
        <v>2</v>
      </c>
      <c r="K138" s="425">
        <f t="shared" si="25"/>
        <v>0</v>
      </c>
      <c r="L138" s="467">
        <f t="shared" si="26"/>
        <v>2.571428571428571</v>
      </c>
      <c r="M138" s="467">
        <f t="shared" si="22"/>
        <v>0.546</v>
      </c>
      <c r="N138" s="468">
        <f t="shared" si="23"/>
        <v>0</v>
      </c>
      <c r="O138" s="469"/>
      <c r="P138" s="482">
        <v>4</v>
      </c>
      <c r="Q138" s="483">
        <f t="shared" si="24"/>
        <v>0</v>
      </c>
      <c r="R138" s="487"/>
      <c r="S138" s="48"/>
      <c r="T138" s="48"/>
      <c r="U138" s="49"/>
      <c r="V138" s="48"/>
      <c r="W138" s="48"/>
      <c r="X138" s="16"/>
      <c r="Y138" s="16"/>
    </row>
    <row r="139" spans="1:25" ht="15.75">
      <c r="A139" s="393"/>
      <c r="B139" s="424"/>
      <c r="C139" s="111" t="s">
        <v>563</v>
      </c>
      <c r="D139" s="390"/>
      <c r="I139" s="425">
        <f>'A.RAPIDO'!L17+'A.RAPIDO'!L18</f>
        <v>0</v>
      </c>
      <c r="J139" s="425">
        <v>3</v>
      </c>
      <c r="K139" s="425">
        <f t="shared" si="25"/>
        <v>0</v>
      </c>
      <c r="L139" s="467">
        <f t="shared" si="26"/>
        <v>2.571428571428571</v>
      </c>
      <c r="M139" s="467">
        <f t="shared" si="22"/>
        <v>0.546</v>
      </c>
      <c r="N139" s="468">
        <f t="shared" si="23"/>
        <v>0</v>
      </c>
      <c r="O139" s="469"/>
      <c r="P139" s="482">
        <v>4</v>
      </c>
      <c r="Q139" s="483">
        <f t="shared" si="24"/>
        <v>0</v>
      </c>
      <c r="R139" s="487"/>
      <c r="S139" s="48"/>
      <c r="T139" s="48"/>
      <c r="U139" s="49"/>
      <c r="V139" s="48"/>
      <c r="W139" s="48"/>
      <c r="X139" s="16"/>
      <c r="Y139" s="16"/>
    </row>
    <row r="140" spans="1:25" ht="15.75">
      <c r="A140" s="393"/>
      <c r="B140" s="424"/>
      <c r="C140" s="111" t="s">
        <v>492</v>
      </c>
      <c r="D140" s="390"/>
      <c r="I140" s="425">
        <f>'A.RAPIDO'!L19+'A.RAPIDO'!L20</f>
        <v>0</v>
      </c>
      <c r="J140" s="425">
        <v>4</v>
      </c>
      <c r="K140" s="425">
        <f t="shared" si="25"/>
        <v>0</v>
      </c>
      <c r="L140" s="467">
        <f t="shared" si="26"/>
        <v>2.571428571428571</v>
      </c>
      <c r="M140" s="467">
        <f t="shared" si="22"/>
        <v>0.546</v>
      </c>
      <c r="N140" s="468">
        <f t="shared" si="23"/>
        <v>0</v>
      </c>
      <c r="O140" s="470">
        <f>N140</f>
        <v>0</v>
      </c>
      <c r="P140" s="482">
        <v>4</v>
      </c>
      <c r="Q140" s="483">
        <f t="shared" si="24"/>
        <v>0</v>
      </c>
      <c r="R140" s="487"/>
      <c r="S140" s="48"/>
      <c r="T140" s="48"/>
      <c r="U140" s="49"/>
      <c r="V140" s="48"/>
      <c r="W140" s="48"/>
      <c r="X140" s="16"/>
      <c r="Y140" s="16"/>
    </row>
    <row r="141" spans="1:25" ht="15.75">
      <c r="A141" s="393"/>
      <c r="B141" s="424"/>
      <c r="C141" s="111" t="s">
        <v>504</v>
      </c>
      <c r="D141" s="390"/>
      <c r="I141" s="425">
        <f>'A.RAPIDO'!L21+'A.RAPIDO'!L22</f>
        <v>0</v>
      </c>
      <c r="J141" s="425">
        <v>3</v>
      </c>
      <c r="K141" s="425">
        <f t="shared" si="25"/>
        <v>0</v>
      </c>
      <c r="L141" s="467">
        <f>J11</f>
        <v>4.2857142857142865</v>
      </c>
      <c r="M141" s="467">
        <f t="shared" si="22"/>
        <v>0.546</v>
      </c>
      <c r="N141" s="468">
        <f t="shared" si="23"/>
        <v>0</v>
      </c>
      <c r="O141" s="470">
        <f>N141</f>
        <v>0</v>
      </c>
      <c r="P141" s="482">
        <v>1</v>
      </c>
      <c r="Q141" s="483">
        <f t="shared" si="24"/>
        <v>0</v>
      </c>
      <c r="R141" s="487"/>
      <c r="S141" s="48"/>
      <c r="T141" s="48"/>
      <c r="U141" s="49"/>
      <c r="V141" s="48"/>
      <c r="W141" s="48"/>
      <c r="X141" s="16"/>
      <c r="Y141" s="16"/>
    </row>
    <row r="142" spans="1:25" ht="15.75">
      <c r="A142" s="393"/>
      <c r="B142" s="424"/>
      <c r="C142" s="390"/>
      <c r="D142" s="390"/>
      <c r="I142" s="425"/>
      <c r="J142" s="425"/>
      <c r="K142" s="425"/>
      <c r="L142" s="467"/>
      <c r="M142" s="467"/>
      <c r="N142" s="468"/>
      <c r="O142" s="469"/>
      <c r="P142" s="482"/>
      <c r="Q142" s="483"/>
      <c r="R142" s="487"/>
      <c r="S142" s="48"/>
      <c r="T142" s="48"/>
      <c r="U142" s="49"/>
      <c r="V142" s="48"/>
      <c r="W142" s="48"/>
      <c r="X142" s="16"/>
      <c r="Y142" s="16"/>
    </row>
    <row r="143" spans="1:25" ht="13.5" thickBot="1">
      <c r="A143" s="393">
        <v>3</v>
      </c>
      <c r="B143" s="390"/>
      <c r="C143" s="390"/>
      <c r="D143" s="390"/>
      <c r="I143" s="425"/>
      <c r="J143" s="425"/>
      <c r="K143" s="425">
        <f>J143*(I143)</f>
        <v>0</v>
      </c>
      <c r="L143" s="467"/>
      <c r="M143" s="467"/>
      <c r="N143" s="468"/>
      <c r="O143" s="469"/>
      <c r="P143" s="482"/>
      <c r="Q143" s="483"/>
      <c r="R143" s="487"/>
      <c r="S143" s="48"/>
      <c r="T143" s="48"/>
      <c r="U143" s="48"/>
      <c r="V143" s="48"/>
      <c r="W143" s="48"/>
      <c r="X143" s="16"/>
      <c r="Y143" s="16"/>
    </row>
    <row r="144" spans="1:25" ht="13.5" thickBot="1">
      <c r="A144" s="389"/>
      <c r="B144" s="388" t="s">
        <v>16</v>
      </c>
      <c r="C144" s="398"/>
      <c r="D144" s="398"/>
      <c r="E144" s="398"/>
      <c r="F144" s="398"/>
      <c r="G144" s="398"/>
      <c r="H144" s="428"/>
      <c r="I144" s="381">
        <f>SUM(I145:I152)</f>
        <v>0</v>
      </c>
      <c r="J144" s="381"/>
      <c r="K144" s="381">
        <f>SUM(K145:K152)</f>
        <v>0</v>
      </c>
      <c r="L144" s="436">
        <f>SUM(L145:L152)</f>
        <v>17.142857142857142</v>
      </c>
      <c r="M144" s="436">
        <f>SUM(M145:M152)</f>
        <v>3.2760000000000007</v>
      </c>
      <c r="N144" s="471">
        <f>SUM(N145:N152)</f>
        <v>0</v>
      </c>
      <c r="O144" s="471">
        <f>SUM(O145:O152)</f>
        <v>0</v>
      </c>
      <c r="P144" s="485"/>
      <c r="Q144" s="471">
        <f>SUM(Q145:Q152)</f>
        <v>0</v>
      </c>
      <c r="R144" s="487"/>
      <c r="S144" s="48"/>
      <c r="T144" s="48"/>
      <c r="U144" s="48"/>
      <c r="V144" s="48"/>
      <c r="W144" s="48"/>
      <c r="X144" s="16"/>
      <c r="Y144" s="16"/>
    </row>
    <row r="145" spans="1:25" ht="15.75">
      <c r="A145" s="393">
        <v>1</v>
      </c>
      <c r="B145" s="424" t="s">
        <v>447</v>
      </c>
      <c r="C145" s="390"/>
      <c r="D145" s="390"/>
      <c r="I145" s="425"/>
      <c r="J145" s="425"/>
      <c r="K145" s="425"/>
      <c r="L145" s="467"/>
      <c r="M145" s="467"/>
      <c r="N145" s="472"/>
      <c r="O145" s="469"/>
      <c r="P145" s="482"/>
      <c r="Q145" s="483"/>
      <c r="R145" s="487"/>
      <c r="S145" s="48"/>
      <c r="T145" s="48"/>
      <c r="U145" s="48"/>
      <c r="V145" s="48"/>
      <c r="W145" s="48"/>
      <c r="X145" s="16"/>
      <c r="Y145" s="16"/>
    </row>
    <row r="146" spans="1:25" ht="12.75">
      <c r="A146" s="393"/>
      <c r="B146" s="390"/>
      <c r="C146" s="390" t="s">
        <v>537</v>
      </c>
      <c r="D146" s="390"/>
      <c r="I146" s="425">
        <f>'A.PESADO'!K5</f>
        <v>0</v>
      </c>
      <c r="J146" s="425">
        <v>1</v>
      </c>
      <c r="K146" s="425">
        <f aca="true" t="shared" si="27" ref="K146:K152">J146*(I146)</f>
        <v>0</v>
      </c>
      <c r="L146" s="467">
        <f>$J$19</f>
        <v>2.571428571428571</v>
      </c>
      <c r="M146" s="468">
        <f aca="true" t="shared" si="28" ref="M146:M151">$C$15</f>
        <v>0.546</v>
      </c>
      <c r="N146" s="425">
        <f aca="true" t="shared" si="29" ref="N146:N151">K146*L146*M146</f>
        <v>0</v>
      </c>
      <c r="O146" s="469"/>
      <c r="P146" s="482">
        <v>4</v>
      </c>
      <c r="Q146" s="483">
        <f aca="true" t="shared" si="30" ref="Q146:Q151">K146*P146</f>
        <v>0</v>
      </c>
      <c r="R146" s="488"/>
      <c r="S146" s="48"/>
      <c r="T146" s="48"/>
      <c r="U146" s="48"/>
      <c r="V146" s="48"/>
      <c r="W146" s="48"/>
      <c r="X146" s="16"/>
      <c r="Y146" s="16"/>
    </row>
    <row r="147" spans="1:25" ht="12.75">
      <c r="A147" s="393"/>
      <c r="B147" s="390"/>
      <c r="C147" s="390" t="s">
        <v>536</v>
      </c>
      <c r="D147" s="390"/>
      <c r="I147" s="425">
        <f>'A.PESADO'!K6+'A.PESADO'!K7</f>
        <v>0</v>
      </c>
      <c r="J147" s="425">
        <v>2</v>
      </c>
      <c r="K147" s="425">
        <f t="shared" si="27"/>
        <v>0</v>
      </c>
      <c r="L147" s="467">
        <f>$J$19</f>
        <v>2.571428571428571</v>
      </c>
      <c r="M147" s="468">
        <f t="shared" si="28"/>
        <v>0.546</v>
      </c>
      <c r="N147" s="425">
        <f t="shared" si="29"/>
        <v>0</v>
      </c>
      <c r="O147" s="469"/>
      <c r="P147" s="482">
        <v>4</v>
      </c>
      <c r="Q147" s="483">
        <f t="shared" si="30"/>
        <v>0</v>
      </c>
      <c r="R147" s="487"/>
      <c r="S147" s="48"/>
      <c r="T147" s="48"/>
      <c r="U147" s="50"/>
      <c r="V147" s="48"/>
      <c r="W147" s="48"/>
      <c r="X147" s="16"/>
      <c r="Y147" s="16"/>
    </row>
    <row r="148" spans="1:25" ht="12.75">
      <c r="A148" s="393"/>
      <c r="B148" s="390"/>
      <c r="C148" s="368" t="s">
        <v>535</v>
      </c>
      <c r="D148" s="390"/>
      <c r="I148" s="425">
        <f>'A.PESADO'!K8+'A.PESADO'!K9</f>
        <v>0</v>
      </c>
      <c r="J148" s="425">
        <v>3</v>
      </c>
      <c r="K148" s="425">
        <f t="shared" si="27"/>
        <v>0</v>
      </c>
      <c r="L148" s="467">
        <f>$J$19</f>
        <v>2.571428571428571</v>
      </c>
      <c r="M148" s="468">
        <f t="shared" si="28"/>
        <v>0.546</v>
      </c>
      <c r="N148" s="425">
        <f t="shared" si="29"/>
        <v>0</v>
      </c>
      <c r="O148" s="469"/>
      <c r="P148" s="482">
        <v>4</v>
      </c>
      <c r="Q148" s="483">
        <f t="shared" si="30"/>
        <v>0</v>
      </c>
      <c r="R148" s="487"/>
      <c r="S148" s="48"/>
      <c r="T148" s="48"/>
      <c r="U148" s="50"/>
      <c r="V148" s="48"/>
      <c r="W148" s="48"/>
      <c r="X148" s="16"/>
      <c r="Y148" s="16"/>
    </row>
    <row r="149" spans="1:25" ht="12.75">
      <c r="A149" s="393"/>
      <c r="B149" s="390"/>
      <c r="C149" s="432" t="s">
        <v>492</v>
      </c>
      <c r="D149" s="390"/>
      <c r="I149" s="425">
        <f>'A.PESADO'!K12+'A.PESADO'!K13</f>
        <v>0</v>
      </c>
      <c r="J149" s="425">
        <v>3</v>
      </c>
      <c r="K149" s="425">
        <f t="shared" si="27"/>
        <v>0</v>
      </c>
      <c r="L149" s="467">
        <f>$J$19</f>
        <v>2.571428571428571</v>
      </c>
      <c r="M149" s="468">
        <f t="shared" si="28"/>
        <v>0.546</v>
      </c>
      <c r="N149" s="425">
        <f t="shared" si="29"/>
        <v>0</v>
      </c>
      <c r="O149" s="469">
        <f>N149</f>
        <v>0</v>
      </c>
      <c r="P149" s="482">
        <v>4</v>
      </c>
      <c r="Q149" s="483">
        <f t="shared" si="30"/>
        <v>0</v>
      </c>
      <c r="R149" s="487"/>
      <c r="S149" s="48"/>
      <c r="T149" s="48"/>
      <c r="U149" s="50"/>
      <c r="V149" s="48"/>
      <c r="W149" s="48"/>
      <c r="X149" s="16"/>
      <c r="Y149" s="16"/>
    </row>
    <row r="150" spans="1:25" ht="12.75">
      <c r="A150" s="393"/>
      <c r="B150" s="390"/>
      <c r="C150" s="432" t="s">
        <v>504</v>
      </c>
      <c r="D150" s="390"/>
      <c r="I150" s="425">
        <f>'A.PESADO'!K14+'A.PESADO'!K15</f>
        <v>0</v>
      </c>
      <c r="J150" s="425">
        <v>2</v>
      </c>
      <c r="K150" s="425">
        <f t="shared" si="27"/>
        <v>0</v>
      </c>
      <c r="L150" s="467">
        <f>J11</f>
        <v>4.2857142857142865</v>
      </c>
      <c r="M150" s="468">
        <f t="shared" si="28"/>
        <v>0.546</v>
      </c>
      <c r="N150" s="425">
        <f t="shared" si="29"/>
        <v>0</v>
      </c>
      <c r="O150" s="469">
        <f>N150</f>
        <v>0</v>
      </c>
      <c r="P150" s="482">
        <v>1</v>
      </c>
      <c r="Q150" s="483">
        <f t="shared" si="30"/>
        <v>0</v>
      </c>
      <c r="R150" s="487"/>
      <c r="S150" s="48"/>
      <c r="T150" s="48"/>
      <c r="U150" s="50"/>
      <c r="V150" s="48"/>
      <c r="W150" s="48"/>
      <c r="X150" s="16"/>
      <c r="Y150" s="16"/>
    </row>
    <row r="151" spans="1:25" ht="12.75">
      <c r="A151" s="393"/>
      <c r="B151" s="390"/>
      <c r="C151" s="432" t="s">
        <v>266</v>
      </c>
      <c r="D151" s="390"/>
      <c r="I151" s="425">
        <f>'A.PESADO'!K10+'A.PESADO'!K11</f>
        <v>0</v>
      </c>
      <c r="J151" s="425">
        <v>2</v>
      </c>
      <c r="K151" s="425">
        <f t="shared" si="27"/>
        <v>0</v>
      </c>
      <c r="L151" s="467">
        <f>$J$19</f>
        <v>2.571428571428571</v>
      </c>
      <c r="M151" s="468">
        <f t="shared" si="28"/>
        <v>0.546</v>
      </c>
      <c r="N151" s="425">
        <f t="shared" si="29"/>
        <v>0</v>
      </c>
      <c r="O151" s="469">
        <f>N151</f>
        <v>0</v>
      </c>
      <c r="P151" s="482">
        <v>4</v>
      </c>
      <c r="Q151" s="483">
        <f t="shared" si="30"/>
        <v>0</v>
      </c>
      <c r="R151" s="487"/>
      <c r="S151" s="48"/>
      <c r="T151" s="48"/>
      <c r="U151" s="50"/>
      <c r="V151" s="48"/>
      <c r="W151" s="48"/>
      <c r="X151" s="16"/>
      <c r="Y151" s="16"/>
    </row>
    <row r="152" spans="1:25" ht="13.5" thickBot="1">
      <c r="A152" s="393">
        <v>3</v>
      </c>
      <c r="B152" s="390"/>
      <c r="C152" s="390"/>
      <c r="D152" s="390"/>
      <c r="I152" s="425"/>
      <c r="J152" s="425"/>
      <c r="K152" s="425">
        <f t="shared" si="27"/>
        <v>0</v>
      </c>
      <c r="L152" s="467"/>
      <c r="M152" s="467"/>
      <c r="N152" s="473"/>
      <c r="O152" s="469"/>
      <c r="P152" s="482"/>
      <c r="Q152" s="483"/>
      <c r="R152" s="487"/>
      <c r="S152" s="48"/>
      <c r="T152" s="48"/>
      <c r="U152" s="50"/>
      <c r="V152" s="48"/>
      <c r="W152" s="48"/>
      <c r="X152" s="16"/>
      <c r="Y152" s="16"/>
    </row>
    <row r="153" spans="1:25" ht="13.5" thickBot="1">
      <c r="A153" s="389"/>
      <c r="B153" s="388" t="s">
        <v>18</v>
      </c>
      <c r="C153" s="398"/>
      <c r="D153" s="398"/>
      <c r="E153" s="398"/>
      <c r="F153" s="398"/>
      <c r="G153" s="398"/>
      <c r="H153" s="428"/>
      <c r="I153" s="381">
        <f>SUM(I154:I159)</f>
        <v>0</v>
      </c>
      <c r="J153" s="381"/>
      <c r="K153" s="381">
        <f>SUM(K154:K159)</f>
        <v>0</v>
      </c>
      <c r="L153" s="436">
        <f>SUM(L154:L159)</f>
        <v>0</v>
      </c>
      <c r="M153" s="436">
        <f>SUM(M154:M159)</f>
        <v>0</v>
      </c>
      <c r="N153" s="471">
        <f>SUM(N154:N159)</f>
        <v>0</v>
      </c>
      <c r="O153" s="471">
        <f>SUM(O154:O159)</f>
        <v>0</v>
      </c>
      <c r="P153" s="485"/>
      <c r="Q153" s="471">
        <f>SUM(Q154:Q159)</f>
        <v>0</v>
      </c>
      <c r="R153" s="487"/>
      <c r="S153" s="48"/>
      <c r="T153" s="48"/>
      <c r="U153" s="50"/>
      <c r="V153" s="48"/>
      <c r="W153" s="48"/>
      <c r="X153" s="16"/>
      <c r="Y153" s="16"/>
    </row>
    <row r="154" spans="1:25" ht="12.75">
      <c r="A154" s="393">
        <v>1</v>
      </c>
      <c r="B154" s="111"/>
      <c r="C154" s="390"/>
      <c r="D154" s="390"/>
      <c r="H154" s="415"/>
      <c r="I154" s="425"/>
      <c r="J154" s="425"/>
      <c r="K154" s="425">
        <f aca="true" t="shared" si="31" ref="K154:K160">J154*(I154)</f>
        <v>0</v>
      </c>
      <c r="L154" s="467"/>
      <c r="M154" s="467"/>
      <c r="N154" s="468"/>
      <c r="O154" s="469"/>
      <c r="P154" s="482"/>
      <c r="Q154" s="489"/>
      <c r="R154" s="490"/>
      <c r="S154" s="48"/>
      <c r="T154" s="48"/>
      <c r="U154" s="16"/>
      <c r="V154" s="48"/>
      <c r="W154" s="48"/>
      <c r="X154" s="16"/>
      <c r="Y154" s="16"/>
    </row>
    <row r="155" spans="1:25" ht="12.75">
      <c r="A155" s="393">
        <v>2</v>
      </c>
      <c r="B155" s="111"/>
      <c r="C155" s="390"/>
      <c r="D155" s="390"/>
      <c r="H155" s="415"/>
      <c r="I155" s="425"/>
      <c r="J155" s="425"/>
      <c r="K155" s="425">
        <f t="shared" si="31"/>
        <v>0</v>
      </c>
      <c r="L155" s="467"/>
      <c r="M155" s="467"/>
      <c r="N155" s="468"/>
      <c r="O155" s="469"/>
      <c r="P155" s="482"/>
      <c r="Q155" s="483"/>
      <c r="R155" s="487"/>
      <c r="S155" s="48"/>
      <c r="T155" s="48"/>
      <c r="U155" s="50"/>
      <c r="V155" s="48"/>
      <c r="W155" s="48"/>
      <c r="X155" s="16"/>
      <c r="Y155" s="16"/>
    </row>
    <row r="156" spans="1:25" ht="12.75">
      <c r="A156" s="393">
        <v>3</v>
      </c>
      <c r="B156" s="111"/>
      <c r="C156" s="390"/>
      <c r="D156" s="390"/>
      <c r="I156" s="425"/>
      <c r="J156" s="425"/>
      <c r="K156" s="425">
        <f t="shared" si="31"/>
        <v>0</v>
      </c>
      <c r="L156" s="467"/>
      <c r="M156" s="467"/>
      <c r="N156" s="468"/>
      <c r="O156" s="469"/>
      <c r="P156" s="482"/>
      <c r="Q156" s="483"/>
      <c r="R156" s="487"/>
      <c r="S156" s="48"/>
      <c r="T156" s="48"/>
      <c r="U156" s="50"/>
      <c r="V156" s="48"/>
      <c r="W156" s="48"/>
      <c r="X156" s="16"/>
      <c r="Y156" s="16"/>
    </row>
    <row r="157" spans="1:25" ht="12.75">
      <c r="A157" s="393">
        <v>4</v>
      </c>
      <c r="B157" s="111"/>
      <c r="C157" s="390"/>
      <c r="D157" s="390"/>
      <c r="I157" s="425"/>
      <c r="J157" s="425"/>
      <c r="K157" s="425">
        <f t="shared" si="31"/>
        <v>0</v>
      </c>
      <c r="L157" s="467"/>
      <c r="M157" s="467"/>
      <c r="N157" s="468"/>
      <c r="O157" s="469"/>
      <c r="P157" s="482"/>
      <c r="Q157" s="483"/>
      <c r="R157" s="487"/>
      <c r="S157" s="48"/>
      <c r="T157" s="48"/>
      <c r="U157" s="50"/>
      <c r="V157" s="48"/>
      <c r="W157" s="48"/>
      <c r="X157" s="16"/>
      <c r="Y157" s="16"/>
    </row>
    <row r="158" spans="1:25" ht="12.75">
      <c r="A158" s="393">
        <v>5</v>
      </c>
      <c r="B158" s="111"/>
      <c r="C158" s="390"/>
      <c r="D158" s="390"/>
      <c r="I158" s="425"/>
      <c r="J158" s="425"/>
      <c r="K158" s="425">
        <f t="shared" si="31"/>
        <v>0</v>
      </c>
      <c r="L158" s="467"/>
      <c r="M158" s="467"/>
      <c r="N158" s="468"/>
      <c r="O158" s="469"/>
      <c r="P158" s="482"/>
      <c r="Q158" s="483"/>
      <c r="R158" s="487"/>
      <c r="S158" s="48"/>
      <c r="T158" s="48"/>
      <c r="U158" s="50"/>
      <c r="V158" s="48"/>
      <c r="W158" s="48"/>
      <c r="X158" s="16"/>
      <c r="Y158" s="16"/>
    </row>
    <row r="159" spans="1:25" ht="12.75">
      <c r="A159" s="393">
        <v>6</v>
      </c>
      <c r="B159" s="111"/>
      <c r="C159" s="390"/>
      <c r="D159" s="390"/>
      <c r="I159" s="425"/>
      <c r="J159" s="425"/>
      <c r="K159" s="425">
        <f t="shared" si="31"/>
        <v>0</v>
      </c>
      <c r="L159" s="467"/>
      <c r="M159" s="467"/>
      <c r="N159" s="468"/>
      <c r="O159" s="469"/>
      <c r="P159" s="482"/>
      <c r="Q159" s="483"/>
      <c r="R159" s="487"/>
      <c r="S159" s="48"/>
      <c r="T159" s="48"/>
      <c r="U159" s="50"/>
      <c r="V159" s="48"/>
      <c r="W159" s="48"/>
      <c r="X159" s="16"/>
      <c r="Y159" s="16"/>
    </row>
    <row r="160" spans="1:25" ht="13.5" thickBot="1">
      <c r="A160" s="394"/>
      <c r="B160" s="111"/>
      <c r="C160" s="390"/>
      <c r="D160" s="390"/>
      <c r="I160" s="425"/>
      <c r="J160" s="425"/>
      <c r="K160" s="425">
        <f t="shared" si="31"/>
        <v>0</v>
      </c>
      <c r="L160" s="467"/>
      <c r="M160" s="467"/>
      <c r="N160" s="468"/>
      <c r="O160" s="469"/>
      <c r="P160" s="482"/>
      <c r="Q160" s="483"/>
      <c r="R160" s="487"/>
      <c r="S160" s="48"/>
      <c r="T160" s="48"/>
      <c r="U160" s="50"/>
      <c r="V160" s="48"/>
      <c r="W160" s="48"/>
      <c r="X160" s="16"/>
      <c r="Y160" s="16"/>
    </row>
    <row r="161" spans="1:25" ht="13.5" thickBot="1">
      <c r="A161" s="389"/>
      <c r="B161" s="388" t="s">
        <v>1</v>
      </c>
      <c r="C161" s="398"/>
      <c r="D161" s="398"/>
      <c r="E161" s="398"/>
      <c r="F161" s="398"/>
      <c r="G161" s="398"/>
      <c r="H161" s="428"/>
      <c r="I161" s="381">
        <f>I30+I77+I86+I127+I144+I153</f>
        <v>0</v>
      </c>
      <c r="J161" s="381"/>
      <c r="K161" s="434">
        <f>K30+K77+K86+K127+K144+K153</f>
        <v>0</v>
      </c>
      <c r="L161" s="474">
        <f>L30+L77+L86+L127+L144+L153</f>
        <v>163.04761904761904</v>
      </c>
      <c r="M161" s="474">
        <f>M30+M77+M86+M127+M144+M153</f>
        <v>27.299999999999997</v>
      </c>
      <c r="N161" s="446">
        <f>N30+N77+N86+N127+N144+N153</f>
        <v>0</v>
      </c>
      <c r="O161" s="475" t="e">
        <f>((O30+O77+O86+O127+O144+O153)/N161)*100</f>
        <v>#DIV/0!</v>
      </c>
      <c r="P161" s="491"/>
      <c r="Q161" s="492" t="e">
        <f>((Q30+Q77+Q86+Q127+Q144+Q153)/K161)</f>
        <v>#DIV/0!</v>
      </c>
      <c r="R161" s="487"/>
      <c r="S161" s="48"/>
      <c r="T161" s="48"/>
      <c r="U161" s="50"/>
      <c r="V161" s="48"/>
      <c r="W161" s="48"/>
      <c r="X161" s="16"/>
      <c r="Y161" s="16"/>
    </row>
    <row r="162" spans="14:25" ht="13.5" thickBot="1">
      <c r="N162" s="436">
        <f>(-0.00001073*N161*N161)+(N161*0.0147)-0.00004758</f>
        <v>-4.758E-05</v>
      </c>
      <c r="O162" s="435" t="s">
        <v>172</v>
      </c>
      <c r="P162" s="435"/>
      <c r="Q162" s="476" t="s">
        <v>177</v>
      </c>
      <c r="R162" s="487"/>
      <c r="S162" s="48"/>
      <c r="T162" s="48"/>
      <c r="U162" s="50"/>
      <c r="V162" s="48"/>
      <c r="W162" s="48"/>
      <c r="X162" s="16"/>
      <c r="Y162" s="16"/>
    </row>
    <row r="163" spans="4:25" ht="12.75">
      <c r="D163" s="435"/>
      <c r="E163" s="476"/>
      <c r="F163" s="477"/>
      <c r="G163" s="476"/>
      <c r="H163" s="477"/>
      <c r="I163" s="435"/>
      <c r="J163" s="435"/>
      <c r="K163" s="435"/>
      <c r="L163" s="435"/>
      <c r="N163" s="435" t="s">
        <v>209</v>
      </c>
      <c r="R163" s="487"/>
      <c r="S163" s="48"/>
      <c r="T163" s="48"/>
      <c r="U163" s="50"/>
      <c r="V163" s="48"/>
      <c r="W163" s="48"/>
      <c r="X163" s="16"/>
      <c r="Y163" s="16"/>
    </row>
    <row r="164" spans="18:25" ht="12.75">
      <c r="R164" s="487"/>
      <c r="S164" s="48"/>
      <c r="T164" s="48"/>
      <c r="U164" s="50"/>
      <c r="V164" s="48"/>
      <c r="W164" s="48"/>
      <c r="X164" s="16"/>
      <c r="Y164" s="16"/>
    </row>
    <row r="165" spans="18:25" ht="12.75">
      <c r="R165" s="490"/>
      <c r="S165" s="48"/>
      <c r="T165" s="48"/>
      <c r="U165" s="16"/>
      <c r="V165" s="48"/>
      <c r="W165" s="48"/>
      <c r="X165" s="16"/>
      <c r="Y165" s="16"/>
    </row>
    <row r="166" spans="18:25" ht="12.75">
      <c r="R166" s="487"/>
      <c r="S166" s="48"/>
      <c r="T166" s="48"/>
      <c r="U166" s="50"/>
      <c r="V166" s="48"/>
      <c r="W166" s="48"/>
      <c r="X166" s="16"/>
      <c r="Y166" s="16"/>
    </row>
    <row r="167" spans="18:25" ht="12.75">
      <c r="R167" s="487"/>
      <c r="S167" s="48"/>
      <c r="T167" s="48"/>
      <c r="U167" s="50"/>
      <c r="V167" s="48"/>
      <c r="W167" s="48"/>
      <c r="X167" s="16"/>
      <c r="Y167" s="16"/>
    </row>
    <row r="168" spans="18:25" ht="12.75">
      <c r="R168" s="487"/>
      <c r="S168" s="48"/>
      <c r="T168" s="48"/>
      <c r="U168" s="50"/>
      <c r="V168" s="48"/>
      <c r="W168" s="48"/>
      <c r="X168" s="16"/>
      <c r="Y168" s="16"/>
    </row>
    <row r="169" spans="18:25" ht="12.75">
      <c r="R169" s="487"/>
      <c r="S169" s="48"/>
      <c r="T169" s="48"/>
      <c r="U169" s="50"/>
      <c r="V169" s="48"/>
      <c r="W169" s="48"/>
      <c r="X169" s="16"/>
      <c r="Y169" s="16"/>
    </row>
    <row r="170" spans="18:25" ht="12.75">
      <c r="R170" s="487"/>
      <c r="S170" s="48"/>
      <c r="T170" s="48"/>
      <c r="U170" s="50"/>
      <c r="V170" s="48"/>
      <c r="W170" s="48"/>
      <c r="X170" s="16"/>
      <c r="Y170" s="16"/>
    </row>
    <row r="171" spans="18:25" ht="12.75">
      <c r="R171" s="487"/>
      <c r="S171" s="48"/>
      <c r="T171" s="48"/>
      <c r="U171" s="50"/>
      <c r="V171" s="48"/>
      <c r="W171" s="48"/>
      <c r="X171" s="16"/>
      <c r="Y171" s="16"/>
    </row>
    <row r="172" spans="18:25" ht="12.75">
      <c r="R172" s="487"/>
      <c r="S172" s="48"/>
      <c r="T172" s="48"/>
      <c r="U172" s="50"/>
      <c r="V172" s="48"/>
      <c r="W172" s="48"/>
      <c r="X172" s="16"/>
      <c r="Y172" s="16"/>
    </row>
    <row r="173" spans="18:25" ht="12.75">
      <c r="R173" s="487"/>
      <c r="S173" s="48"/>
      <c r="T173" s="48"/>
      <c r="U173" s="50"/>
      <c r="V173" s="48"/>
      <c r="W173" s="48"/>
      <c r="X173" s="16"/>
      <c r="Y173" s="16"/>
    </row>
    <row r="174" spans="18:25" ht="12.75">
      <c r="R174" s="487"/>
      <c r="S174" s="48"/>
      <c r="T174" s="48"/>
      <c r="U174" s="50"/>
      <c r="V174" s="48"/>
      <c r="W174" s="48"/>
      <c r="X174" s="16"/>
      <c r="Y174" s="16"/>
    </row>
    <row r="175" spans="18:25" ht="12.75">
      <c r="R175" s="487"/>
      <c r="S175" s="48"/>
      <c r="T175" s="48"/>
      <c r="U175" s="50"/>
      <c r="V175" s="48"/>
      <c r="W175" s="48"/>
      <c r="X175" s="16"/>
      <c r="Y175" s="16"/>
    </row>
    <row r="176" spans="18:25" ht="12.75">
      <c r="R176" s="487"/>
      <c r="S176" s="48"/>
      <c r="T176" s="48"/>
      <c r="U176" s="16"/>
      <c r="V176" s="50"/>
      <c r="W176" s="48"/>
      <c r="X176" s="16"/>
      <c r="Y176" s="16"/>
    </row>
    <row r="177" spans="18:25" ht="12.75">
      <c r="R177" s="487"/>
      <c r="S177" s="48"/>
      <c r="T177" s="48"/>
      <c r="U177" s="50"/>
      <c r="V177" s="48"/>
      <c r="W177" s="48"/>
      <c r="X177" s="16"/>
      <c r="Y177" s="16"/>
    </row>
    <row r="178" spans="18:25" ht="12.75">
      <c r="R178" s="487"/>
      <c r="S178" s="48"/>
      <c r="T178" s="48"/>
      <c r="U178" s="50"/>
      <c r="V178" s="48"/>
      <c r="W178" s="48"/>
      <c r="X178" s="16"/>
      <c r="Y178" s="16"/>
    </row>
    <row r="179" spans="18:25" ht="12.75">
      <c r="R179" s="487"/>
      <c r="S179" s="48"/>
      <c r="T179" s="48"/>
      <c r="U179" s="50"/>
      <c r="V179" s="48"/>
      <c r="W179" s="48"/>
      <c r="X179" s="16"/>
      <c r="Y179" s="16"/>
    </row>
    <row r="180" spans="18:25" ht="12.75">
      <c r="R180" s="487"/>
      <c r="S180" s="48"/>
      <c r="T180" s="48"/>
      <c r="U180" s="50"/>
      <c r="V180" s="48"/>
      <c r="W180" s="48"/>
      <c r="X180" s="16"/>
      <c r="Y180" s="16"/>
    </row>
    <row r="181" spans="18:25" ht="12.75">
      <c r="R181" s="487"/>
      <c r="S181" s="48"/>
      <c r="T181" s="48"/>
      <c r="U181" s="50"/>
      <c r="V181" s="48"/>
      <c r="W181" s="48"/>
      <c r="X181" s="16"/>
      <c r="Y181" s="16"/>
    </row>
    <row r="182" spans="18:25" ht="12.75">
      <c r="R182" s="487"/>
      <c r="S182" s="48"/>
      <c r="T182" s="48"/>
      <c r="U182" s="50"/>
      <c r="V182" s="48"/>
      <c r="W182" s="48"/>
      <c r="X182" s="16"/>
      <c r="Y182" s="16"/>
    </row>
    <row r="183" spans="18:25" ht="12.75">
      <c r="R183" s="487"/>
      <c r="S183" s="48"/>
      <c r="T183" s="48"/>
      <c r="U183" s="50"/>
      <c r="V183" s="48"/>
      <c r="W183" s="48"/>
      <c r="X183" s="16"/>
      <c r="Y183" s="16"/>
    </row>
    <row r="184" spans="18:25" ht="12.75">
      <c r="R184" s="487"/>
      <c r="S184" s="48"/>
      <c r="T184" s="48"/>
      <c r="U184" s="50"/>
      <c r="V184" s="48"/>
      <c r="W184" s="48"/>
      <c r="X184" s="16"/>
      <c r="Y184" s="16"/>
    </row>
    <row r="185" spans="18:25" ht="12.75">
      <c r="R185" s="487"/>
      <c r="S185" s="48"/>
      <c r="T185" s="48"/>
      <c r="U185" s="50"/>
      <c r="V185" s="48"/>
      <c r="W185" s="48"/>
      <c r="X185" s="16"/>
      <c r="Y185" s="16"/>
    </row>
    <row r="186" spans="18:25" ht="12.75">
      <c r="R186" s="487"/>
      <c r="S186" s="48"/>
      <c r="T186" s="48"/>
      <c r="U186" s="50"/>
      <c r="V186" s="48"/>
      <c r="W186" s="48"/>
      <c r="X186" s="16"/>
      <c r="Y186" s="16"/>
    </row>
    <row r="187" spans="18:25" ht="12.75">
      <c r="R187" s="487"/>
      <c r="S187" s="48"/>
      <c r="T187" s="48"/>
      <c r="U187" s="50"/>
      <c r="V187" s="48"/>
      <c r="W187" s="48"/>
      <c r="X187" s="16"/>
      <c r="Y187" s="16"/>
    </row>
    <row r="188" spans="18:25" ht="12.75">
      <c r="R188" s="487"/>
      <c r="S188" s="48"/>
      <c r="T188" s="48"/>
      <c r="U188" s="50"/>
      <c r="V188" s="48"/>
      <c r="W188" s="48"/>
      <c r="X188" s="16"/>
      <c r="Y188" s="16"/>
    </row>
    <row r="189" spans="18:25" ht="12.75">
      <c r="R189" s="487"/>
      <c r="S189" s="48"/>
      <c r="T189" s="48"/>
      <c r="U189" s="48"/>
      <c r="V189" s="48"/>
      <c r="W189" s="48"/>
      <c r="X189" s="16"/>
      <c r="Y189" s="16"/>
    </row>
    <row r="190" spans="18:25" ht="12.75">
      <c r="R190" s="113"/>
      <c r="S190" s="17"/>
      <c r="T190" s="17"/>
      <c r="U190" s="17"/>
      <c r="V190" s="17"/>
      <c r="W190" s="17"/>
      <c r="X190" s="17"/>
      <c r="Y190" s="16"/>
    </row>
    <row r="191" spans="18:25" ht="12.75">
      <c r="R191" s="113"/>
      <c r="S191" s="17"/>
      <c r="T191" s="17"/>
      <c r="U191" s="17"/>
      <c r="V191" s="17"/>
      <c r="W191" s="17"/>
      <c r="X191" s="17"/>
      <c r="Y191" s="16"/>
    </row>
    <row r="192" spans="19:20" ht="12.75">
      <c r="S192" s="16"/>
      <c r="T192" s="16"/>
    </row>
    <row r="193" spans="19:20" ht="12.75">
      <c r="S193" s="16"/>
      <c r="T193" s="16"/>
    </row>
    <row r="194" spans="19:20" ht="12.75">
      <c r="S194" s="16"/>
      <c r="T194" s="16"/>
    </row>
    <row r="195" spans="19:20" ht="12.75">
      <c r="S195" s="16"/>
      <c r="T195" s="16"/>
    </row>
    <row r="196" spans="19:20" ht="12.75">
      <c r="S196" s="16"/>
      <c r="T196" s="16"/>
    </row>
    <row r="197" spans="19:20" ht="12.75">
      <c r="S197" s="16"/>
      <c r="T197" s="16"/>
    </row>
    <row r="198" spans="19:20" ht="12.75">
      <c r="S198" s="16"/>
      <c r="T198" s="16"/>
    </row>
    <row r="199" spans="19:20" ht="12.75">
      <c r="S199" s="16"/>
      <c r="T199" s="16"/>
    </row>
    <row r="200" spans="19:20" ht="12.75">
      <c r="S200" s="16"/>
      <c r="T200" s="16"/>
    </row>
    <row r="201" spans="19:20" ht="12.75">
      <c r="S201" s="16"/>
      <c r="T201" s="16"/>
    </row>
    <row r="202" spans="19:20" ht="12.75">
      <c r="S202" s="16"/>
      <c r="T202" s="16"/>
    </row>
    <row r="203" spans="19:20" ht="12.75">
      <c r="S203" s="16"/>
      <c r="T203" s="16"/>
    </row>
    <row r="204" spans="19:20" ht="12.75">
      <c r="S204" s="16"/>
      <c r="T204" s="16"/>
    </row>
    <row r="205" spans="19:20" ht="12.75">
      <c r="S205" s="16"/>
      <c r="T205" s="16"/>
    </row>
    <row r="206" spans="19:20" ht="12.75">
      <c r="S206" s="16"/>
      <c r="T206" s="16"/>
    </row>
    <row r="207" spans="19:20" ht="12.75">
      <c r="S207" s="16"/>
      <c r="T207" s="16"/>
    </row>
    <row r="208" spans="19:20" ht="12.75">
      <c r="S208" s="16"/>
      <c r="T208" s="16"/>
    </row>
    <row r="209" spans="19:20" ht="12.75">
      <c r="S209" s="16"/>
      <c r="T209" s="16"/>
    </row>
    <row r="210" spans="19:20" ht="12.75">
      <c r="S210" s="16"/>
      <c r="T210" s="16"/>
    </row>
    <row r="211" spans="19:20" ht="12.75">
      <c r="S211" s="16"/>
      <c r="T211" s="16"/>
    </row>
    <row r="212" spans="19:20" ht="12.75">
      <c r="S212" s="16"/>
      <c r="T212" s="16"/>
    </row>
    <row r="213" spans="19:20" ht="12.75">
      <c r="S213" s="16"/>
      <c r="T213" s="16"/>
    </row>
    <row r="214" spans="19:20" ht="12.75">
      <c r="S214" s="16"/>
      <c r="T214" s="16"/>
    </row>
    <row r="215" spans="19:20" ht="12.75">
      <c r="S215" s="16"/>
      <c r="T215" s="16"/>
    </row>
    <row r="216" spans="19:20" ht="12.75">
      <c r="S216" s="16"/>
      <c r="T216" s="16"/>
    </row>
    <row r="217" spans="19:20" ht="12.75">
      <c r="S217" s="16"/>
      <c r="T217" s="16"/>
    </row>
    <row r="218" spans="19:20" ht="12.75">
      <c r="S218" s="16"/>
      <c r="T218" s="16"/>
    </row>
    <row r="219" spans="19:20" ht="12.75">
      <c r="S219" s="16"/>
      <c r="T219" s="16"/>
    </row>
    <row r="220" spans="19:20" ht="12.75">
      <c r="S220" s="16"/>
      <c r="T220" s="16"/>
    </row>
    <row r="221" spans="19:20" ht="12.75">
      <c r="S221" s="16"/>
      <c r="T221" s="16"/>
    </row>
    <row r="222" spans="19:20" ht="12.75">
      <c r="S222" s="16"/>
      <c r="T222" s="16"/>
    </row>
    <row r="223" spans="19:20" ht="12.75">
      <c r="S223" s="16"/>
      <c r="T223" s="16"/>
    </row>
    <row r="224" spans="19:20" ht="12.75">
      <c r="S224" s="16"/>
      <c r="T224" s="16"/>
    </row>
    <row r="225" spans="19:20" ht="12.75">
      <c r="S225" s="16"/>
      <c r="T225" s="16"/>
    </row>
    <row r="226" spans="19:20" ht="12.75">
      <c r="S226" s="16"/>
      <c r="T226" s="16"/>
    </row>
    <row r="227" spans="19:20" ht="12.75">
      <c r="S227" s="16"/>
      <c r="T227" s="16"/>
    </row>
    <row r="228" spans="19:20" ht="12.75">
      <c r="S228" s="16"/>
      <c r="T228" s="16"/>
    </row>
    <row r="229" spans="19:20" ht="12.75">
      <c r="S229" s="16"/>
      <c r="T229" s="16"/>
    </row>
    <row r="230" spans="19:20" ht="12.75">
      <c r="S230" s="16"/>
      <c r="T230" s="16"/>
    </row>
    <row r="231" spans="19:20" ht="12.75">
      <c r="S231" s="16"/>
      <c r="T231" s="16"/>
    </row>
  </sheetData>
  <mergeCells count="22">
    <mergeCell ref="H8:I8"/>
    <mergeCell ref="H7:I7"/>
    <mergeCell ref="P28:Q28"/>
    <mergeCell ref="H11:I11"/>
    <mergeCell ref="H10:I10"/>
    <mergeCell ref="H9:I9"/>
    <mergeCell ref="H24:I24"/>
    <mergeCell ref="H25:I25"/>
    <mergeCell ref="L28:N28"/>
    <mergeCell ref="J28:K28"/>
    <mergeCell ref="H22:I22"/>
    <mergeCell ref="H23:I23"/>
    <mergeCell ref="H20:I20"/>
    <mergeCell ref="H21:I21"/>
    <mergeCell ref="H16:I16"/>
    <mergeCell ref="H17:I17"/>
    <mergeCell ref="H18:I18"/>
    <mergeCell ref="H19:I19"/>
    <mergeCell ref="H12:I12"/>
    <mergeCell ref="H13:I13"/>
    <mergeCell ref="H14:I14"/>
    <mergeCell ref="H15:I15"/>
  </mergeCells>
  <printOptions/>
  <pageMargins left="0.75" right="0.75" top="1" bottom="1" header="0" footer="0"/>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dimension ref="A1:AC153"/>
  <sheetViews>
    <sheetView zoomScale="85" zoomScaleNormal="85" workbookViewId="0" topLeftCell="K176">
      <selection activeCell="AA63" sqref="AA63"/>
    </sheetView>
  </sheetViews>
  <sheetFormatPr defaultColWidth="11.421875" defaultRowHeight="12.75"/>
  <cols>
    <col min="1" max="1" width="5.421875" style="368" customWidth="1"/>
    <col min="2" max="2" width="11.421875" style="368" customWidth="1"/>
    <col min="3" max="3" width="8.28125" style="368" customWidth="1"/>
    <col min="4" max="4" width="6.57421875" style="368" customWidth="1"/>
    <col min="5" max="5" width="6.8515625" style="368" customWidth="1"/>
    <col min="6" max="6" width="11.421875" style="368" customWidth="1"/>
    <col min="7" max="7" width="7.7109375" style="368" customWidth="1"/>
    <col min="8" max="8" width="7.140625" style="368" customWidth="1"/>
    <col min="9" max="14" width="11.421875" style="368" customWidth="1"/>
    <col min="15" max="15" width="8.28125" style="368" customWidth="1"/>
    <col min="16" max="16" width="11.421875" style="368" customWidth="1"/>
    <col min="17" max="17" width="9.00390625" style="368" customWidth="1"/>
    <col min="18" max="18" width="8.28125" style="368" customWidth="1"/>
    <col min="19" max="19" width="11.00390625" style="368" customWidth="1"/>
    <col min="20" max="26" width="4.7109375" style="368" customWidth="1"/>
    <col min="27" max="29" width="11.421875" style="368" customWidth="1"/>
  </cols>
  <sheetData>
    <row r="1" spans="1:29" s="13" customFormat="1" ht="18.75" thickBot="1">
      <c r="A1" s="389"/>
      <c r="B1" s="397" t="s">
        <v>157</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row>
    <row r="2" spans="1:29" s="16" customFormat="1" ht="20.25">
      <c r="A2" s="390"/>
      <c r="B2" s="399"/>
      <c r="C2" s="390"/>
      <c r="D2" s="390"/>
      <c r="E2" s="390"/>
      <c r="F2" s="390"/>
      <c r="G2" s="390"/>
      <c r="H2" s="390"/>
      <c r="I2" s="390"/>
      <c r="J2" s="390"/>
      <c r="K2" s="390"/>
      <c r="L2" s="390"/>
      <c r="M2" s="390"/>
      <c r="N2" s="390"/>
      <c r="O2" s="128"/>
      <c r="P2" s="390"/>
      <c r="Q2" s="390"/>
      <c r="R2" s="390"/>
      <c r="S2" s="390"/>
      <c r="T2" s="390"/>
      <c r="U2" s="390"/>
      <c r="V2" s="390"/>
      <c r="W2" s="390"/>
      <c r="X2" s="390"/>
      <c r="Y2" s="390"/>
      <c r="Z2" s="390"/>
      <c r="AA2" s="390"/>
      <c r="AB2" s="390"/>
      <c r="AC2" s="390"/>
    </row>
    <row r="3" spans="16:17" ht="12.75">
      <c r="P3" s="129"/>
      <c r="Q3" s="129"/>
    </row>
    <row r="4" spans="16:18" ht="12.75">
      <c r="P4" s="115"/>
      <c r="Q4" s="115"/>
      <c r="R4" s="390"/>
    </row>
    <row r="5" spans="2:18" ht="15.75">
      <c r="B5" s="129" t="s">
        <v>47</v>
      </c>
      <c r="F5" s="400"/>
      <c r="G5" s="400"/>
      <c r="I5" s="401"/>
      <c r="J5" s="401"/>
      <c r="K5" s="401"/>
      <c r="L5" s="401"/>
      <c r="P5" s="115"/>
      <c r="Q5" s="115"/>
      <c r="R5" s="390"/>
    </row>
    <row r="6" spans="2:18" ht="12.75">
      <c r="B6" s="571"/>
      <c r="C6" s="572"/>
      <c r="D6" s="573" t="s">
        <v>48</v>
      </c>
      <c r="E6" s="574" t="s">
        <v>49</v>
      </c>
      <c r="F6" s="574" t="s">
        <v>50</v>
      </c>
      <c r="G6" s="575" t="s">
        <v>51</v>
      </c>
      <c r="I6" s="401"/>
      <c r="J6" s="401"/>
      <c r="K6" s="401"/>
      <c r="L6" s="401"/>
      <c r="P6" s="115"/>
      <c r="Q6" s="115"/>
      <c r="R6" s="390"/>
    </row>
    <row r="7" spans="2:18" ht="12.75">
      <c r="B7" s="576" t="s">
        <v>52</v>
      </c>
      <c r="C7" s="577"/>
      <c r="D7" s="534">
        <v>1</v>
      </c>
      <c r="E7" s="534">
        <v>1</v>
      </c>
      <c r="F7" s="534">
        <v>1</v>
      </c>
      <c r="G7" s="534" t="s">
        <v>53</v>
      </c>
      <c r="I7" s="401"/>
      <c r="J7" s="401"/>
      <c r="K7" s="401"/>
      <c r="L7" s="401"/>
      <c r="P7" s="115"/>
      <c r="Q7" s="115"/>
      <c r="R7" s="390"/>
    </row>
    <row r="8" spans="16:18" ht="12.75">
      <c r="P8" s="115"/>
      <c r="Q8" s="115"/>
      <c r="R8" s="390"/>
    </row>
    <row r="9" spans="2:18" ht="12.75">
      <c r="B9" s="129" t="s">
        <v>54</v>
      </c>
      <c r="F9" s="129" t="s">
        <v>55</v>
      </c>
      <c r="J9" s="129" t="s">
        <v>147</v>
      </c>
      <c r="P9" s="115"/>
      <c r="Q9" s="115"/>
      <c r="R9" s="390"/>
    </row>
    <row r="10" spans="2:18" ht="12.75">
      <c r="B10" s="578" t="s">
        <v>57</v>
      </c>
      <c r="F10" s="578" t="s">
        <v>58</v>
      </c>
      <c r="P10" s="115"/>
      <c r="Q10" s="115"/>
      <c r="R10" s="390"/>
    </row>
    <row r="11" spans="2:18" ht="12.75">
      <c r="B11" s="579" t="s">
        <v>59</v>
      </c>
      <c r="C11" s="580"/>
      <c r="F11" s="579" t="s">
        <v>60</v>
      </c>
      <c r="G11" s="580"/>
      <c r="J11" s="113"/>
      <c r="K11" s="390"/>
      <c r="L11" s="401"/>
      <c r="Q11" s="115"/>
      <c r="R11" s="390"/>
    </row>
    <row r="12" spans="2:18" ht="13.5" thickBot="1">
      <c r="B12" s="574" t="s">
        <v>62</v>
      </c>
      <c r="C12" s="574" t="s">
        <v>63</v>
      </c>
      <c r="F12" s="574" t="s">
        <v>62</v>
      </c>
      <c r="G12" s="574" t="s">
        <v>63</v>
      </c>
      <c r="J12" s="129" t="s">
        <v>146</v>
      </c>
      <c r="K12" s="401"/>
      <c r="L12" s="401"/>
      <c r="M12" s="401"/>
      <c r="N12" s="373" t="s">
        <v>153</v>
      </c>
      <c r="O12" s="410"/>
      <c r="P12" s="407"/>
      <c r="Q12" s="129" t="s">
        <v>149</v>
      </c>
      <c r="R12" s="621"/>
    </row>
    <row r="13" spans="2:18" ht="13.5" thickBot="1">
      <c r="B13" s="534" t="s">
        <v>65</v>
      </c>
      <c r="C13" s="582">
        <v>5</v>
      </c>
      <c r="F13" s="534">
        <v>210</v>
      </c>
      <c r="G13" s="582">
        <v>5</v>
      </c>
      <c r="K13" s="477" t="s">
        <v>179</v>
      </c>
      <c r="L13" s="403"/>
      <c r="M13" s="404"/>
      <c r="N13" s="451"/>
      <c r="O13" s="449" t="s">
        <v>179</v>
      </c>
      <c r="P13" s="403"/>
      <c r="Q13" s="347" t="s">
        <v>61</v>
      </c>
      <c r="R13" s="348" t="s">
        <v>0</v>
      </c>
    </row>
    <row r="14" spans="2:18" ht="13.5" thickBot="1">
      <c r="B14" s="534">
        <v>150</v>
      </c>
      <c r="C14" s="582">
        <v>4.166666666666667</v>
      </c>
      <c r="F14" s="534">
        <v>180</v>
      </c>
      <c r="G14" s="582">
        <v>4.285714285714286</v>
      </c>
      <c r="J14" s="347" t="s">
        <v>61</v>
      </c>
      <c r="K14" s="348" t="s">
        <v>0</v>
      </c>
      <c r="L14" s="427"/>
      <c r="N14" s="347" t="s">
        <v>61</v>
      </c>
      <c r="O14" s="348" t="s">
        <v>0</v>
      </c>
      <c r="P14" s="412"/>
      <c r="Q14" s="442">
        <v>10</v>
      </c>
      <c r="R14" s="443">
        <v>2.67</v>
      </c>
    </row>
    <row r="15" spans="2:18" ht="12.75">
      <c r="B15" s="534">
        <v>120</v>
      </c>
      <c r="C15" s="582">
        <v>3.333333333333333</v>
      </c>
      <c r="F15" s="534">
        <v>165</v>
      </c>
      <c r="G15" s="582">
        <v>3.9285714285714284</v>
      </c>
      <c r="J15" s="442">
        <v>10</v>
      </c>
      <c r="K15" s="443">
        <v>1.94</v>
      </c>
      <c r="L15" s="467"/>
      <c r="N15" s="442">
        <v>10</v>
      </c>
      <c r="O15" s="443">
        <v>1.94</v>
      </c>
      <c r="P15" s="453"/>
      <c r="Q15" s="442">
        <v>9</v>
      </c>
      <c r="R15" s="443">
        <v>2.11</v>
      </c>
    </row>
    <row r="16" spans="2:18" ht="12.75">
      <c r="B16" s="534">
        <v>90</v>
      </c>
      <c r="C16" s="582">
        <v>2.5</v>
      </c>
      <c r="F16" s="534">
        <v>150</v>
      </c>
      <c r="G16" s="582">
        <v>3.5714285714285716</v>
      </c>
      <c r="J16" s="442">
        <v>9</v>
      </c>
      <c r="K16" s="443">
        <v>1.39</v>
      </c>
      <c r="L16" s="467"/>
      <c r="N16" s="442">
        <v>9</v>
      </c>
      <c r="O16" s="443">
        <v>1.39</v>
      </c>
      <c r="P16" s="454"/>
      <c r="Q16" s="442">
        <v>8</v>
      </c>
      <c r="R16" s="443">
        <v>1.37</v>
      </c>
    </row>
    <row r="17" spans="2:18" ht="12.75">
      <c r="B17" s="534">
        <v>75</v>
      </c>
      <c r="C17" s="582">
        <v>2.0833333333333335</v>
      </c>
      <c r="F17" s="534">
        <v>135</v>
      </c>
      <c r="G17" s="582">
        <v>3.2142857142857144</v>
      </c>
      <c r="J17" s="442">
        <v>8</v>
      </c>
      <c r="K17" s="443">
        <v>0.83</v>
      </c>
      <c r="L17" s="467"/>
      <c r="N17" s="442">
        <v>8</v>
      </c>
      <c r="O17" s="443">
        <v>0.93</v>
      </c>
      <c r="P17" s="454"/>
      <c r="Q17" s="442">
        <v>7</v>
      </c>
      <c r="R17" s="443">
        <v>0.65</v>
      </c>
    </row>
    <row r="18" spans="2:18" ht="13.5" thickBot="1">
      <c r="B18" s="534">
        <v>60</v>
      </c>
      <c r="C18" s="582">
        <v>1.6666666666666665</v>
      </c>
      <c r="F18" s="534">
        <v>120</v>
      </c>
      <c r="G18" s="582">
        <v>2.8571428571428568</v>
      </c>
      <c r="J18" s="442">
        <v>7</v>
      </c>
      <c r="K18" s="443">
        <v>0.37</v>
      </c>
      <c r="L18" s="467"/>
      <c r="N18" s="442">
        <v>7</v>
      </c>
      <c r="O18" s="443">
        <v>0.62</v>
      </c>
      <c r="P18" s="454"/>
      <c r="Q18" s="444">
        <v>6</v>
      </c>
      <c r="R18" s="445">
        <v>0.17</v>
      </c>
    </row>
    <row r="19" spans="2:18" ht="13.5" thickBot="1">
      <c r="B19" s="534">
        <v>45</v>
      </c>
      <c r="C19" s="582">
        <v>1.25</v>
      </c>
      <c r="F19" s="534">
        <v>105</v>
      </c>
      <c r="G19" s="582">
        <v>2.5</v>
      </c>
      <c r="J19" s="444">
        <v>6</v>
      </c>
      <c r="K19" s="445">
        <v>0.09</v>
      </c>
      <c r="L19" s="467"/>
      <c r="N19" s="442">
        <v>6</v>
      </c>
      <c r="O19" s="443">
        <v>0.43</v>
      </c>
      <c r="P19" s="454"/>
      <c r="Q19" s="442">
        <v>5</v>
      </c>
      <c r="R19" s="443">
        <v>0</v>
      </c>
    </row>
    <row r="20" spans="2:18" ht="13.5" thickBot="1">
      <c r="B20" s="534">
        <v>30</v>
      </c>
      <c r="C20" s="582">
        <v>0.8333333333333333</v>
      </c>
      <c r="F20" s="534">
        <v>90</v>
      </c>
      <c r="G20" s="582">
        <v>2.142857142857143</v>
      </c>
      <c r="J20" s="442">
        <v>5</v>
      </c>
      <c r="K20" s="443">
        <v>0</v>
      </c>
      <c r="L20" s="467"/>
      <c r="N20" s="442">
        <v>5</v>
      </c>
      <c r="O20" s="443">
        <v>0.28</v>
      </c>
      <c r="P20" s="454"/>
      <c r="Q20" s="444">
        <v>4</v>
      </c>
      <c r="R20" s="445">
        <v>0</v>
      </c>
    </row>
    <row r="21" spans="2:16" ht="13.5" thickBot="1">
      <c r="B21" s="534" t="s">
        <v>73</v>
      </c>
      <c r="C21" s="582" t="s">
        <v>74</v>
      </c>
      <c r="F21" s="534">
        <v>75</v>
      </c>
      <c r="G21" s="582">
        <v>1.7857142857142858</v>
      </c>
      <c r="J21" s="444">
        <v>4</v>
      </c>
      <c r="K21" s="445">
        <v>0</v>
      </c>
      <c r="L21" s="467"/>
      <c r="N21" s="442">
        <v>4</v>
      </c>
      <c r="O21" s="443">
        <v>0.12</v>
      </c>
      <c r="P21" s="454"/>
    </row>
    <row r="22" spans="2:18" ht="13.5" thickBot="1">
      <c r="B22" s="534" t="s">
        <v>75</v>
      </c>
      <c r="C22" s="534">
        <v>0</v>
      </c>
      <c r="F22" s="534">
        <v>60</v>
      </c>
      <c r="G22" s="582">
        <v>1.4285714285714284</v>
      </c>
      <c r="J22" s="508"/>
      <c r="K22" s="456"/>
      <c r="L22" s="456"/>
      <c r="N22" s="444">
        <v>3</v>
      </c>
      <c r="O22" s="445">
        <v>0.03</v>
      </c>
      <c r="P22" s="454"/>
      <c r="Q22" s="477" t="s">
        <v>150</v>
      </c>
      <c r="R22" s="621"/>
    </row>
    <row r="23" spans="2:18" ht="13.5" thickBot="1">
      <c r="B23" s="578" t="s">
        <v>77</v>
      </c>
      <c r="F23" s="534">
        <v>45</v>
      </c>
      <c r="G23" s="582">
        <v>1.0714285714285714</v>
      </c>
      <c r="J23" s="111" t="s">
        <v>148</v>
      </c>
      <c r="K23" s="435"/>
      <c r="L23" s="407"/>
      <c r="N23" s="425"/>
      <c r="O23" s="467"/>
      <c r="P23" s="454"/>
      <c r="Q23" s="347" t="s">
        <v>61</v>
      </c>
      <c r="R23" s="348" t="s">
        <v>0</v>
      </c>
    </row>
    <row r="24" spans="6:18" ht="13.5" thickBot="1">
      <c r="F24" s="534" t="s">
        <v>78</v>
      </c>
      <c r="G24" s="534">
        <v>1</v>
      </c>
      <c r="J24" s="347" t="s">
        <v>61</v>
      </c>
      <c r="K24" s="348" t="s">
        <v>0</v>
      </c>
      <c r="N24" s="129" t="s">
        <v>155</v>
      </c>
      <c r="O24" s="621"/>
      <c r="P24" s="455"/>
      <c r="Q24" s="442">
        <v>10</v>
      </c>
      <c r="R24" s="443">
        <v>3.19</v>
      </c>
    </row>
    <row r="25" spans="6:18" ht="13.5" thickBot="1">
      <c r="F25" s="534">
        <v>30</v>
      </c>
      <c r="G25" s="582">
        <v>0.7142857142857142</v>
      </c>
      <c r="J25" s="411">
        <v>10</v>
      </c>
      <c r="K25" s="440">
        <v>2.5</v>
      </c>
      <c r="L25" s="477"/>
      <c r="M25" s="403"/>
      <c r="N25" s="351" t="s">
        <v>61</v>
      </c>
      <c r="O25" s="348" t="s">
        <v>0</v>
      </c>
      <c r="Q25" s="442">
        <v>9</v>
      </c>
      <c r="R25" s="443">
        <v>2.72</v>
      </c>
    </row>
    <row r="26" spans="6:18" ht="13.5" thickBot="1">
      <c r="F26" s="534" t="s">
        <v>81</v>
      </c>
      <c r="G26" s="582">
        <v>0.5</v>
      </c>
      <c r="J26" s="352">
        <v>9</v>
      </c>
      <c r="K26" s="384">
        <v>1.81</v>
      </c>
      <c r="L26" s="460"/>
      <c r="M26" s="460"/>
      <c r="N26" s="351" t="s">
        <v>154</v>
      </c>
      <c r="O26" s="350">
        <v>1.67</v>
      </c>
      <c r="Q26" s="442">
        <v>8</v>
      </c>
      <c r="R26" s="443">
        <v>1.82</v>
      </c>
    </row>
    <row r="27" spans="6:18" ht="12.75">
      <c r="F27" s="534" t="s">
        <v>75</v>
      </c>
      <c r="G27" s="534">
        <v>0</v>
      </c>
      <c r="J27" s="352">
        <v>8</v>
      </c>
      <c r="K27" s="384">
        <v>1.11</v>
      </c>
      <c r="L27" s="510"/>
      <c r="M27" s="511"/>
      <c r="Q27" s="442">
        <v>7</v>
      </c>
      <c r="R27" s="443">
        <v>0.89</v>
      </c>
    </row>
    <row r="28" spans="6:18" ht="13.5" thickBot="1">
      <c r="F28" s="578" t="s">
        <v>77</v>
      </c>
      <c r="J28" s="352">
        <v>7</v>
      </c>
      <c r="K28" s="384">
        <v>0.51</v>
      </c>
      <c r="L28" s="510"/>
      <c r="M28" s="510"/>
      <c r="N28" s="622" t="s">
        <v>151</v>
      </c>
      <c r="O28" s="622"/>
      <c r="Q28" s="444">
        <v>6</v>
      </c>
      <c r="R28" s="445">
        <v>0.25</v>
      </c>
    </row>
    <row r="29" spans="10:18" ht="13.5" thickBot="1">
      <c r="J29" s="349">
        <v>6</v>
      </c>
      <c r="K29" s="350">
        <v>0.14</v>
      </c>
      <c r="L29" s="439"/>
      <c r="M29" s="439"/>
      <c r="N29" s="351" t="s">
        <v>61</v>
      </c>
      <c r="O29" s="348" t="s">
        <v>0</v>
      </c>
      <c r="Q29" s="442">
        <v>5</v>
      </c>
      <c r="R29" s="443">
        <v>0</v>
      </c>
    </row>
    <row r="30" spans="2:18" ht="13.5" thickBot="1">
      <c r="B30" s="129" t="s">
        <v>83</v>
      </c>
      <c r="J30" s="352">
        <v>5</v>
      </c>
      <c r="K30" s="384">
        <v>0</v>
      </c>
      <c r="N30" s="411">
        <v>10</v>
      </c>
      <c r="O30" s="443">
        <v>3.12</v>
      </c>
      <c r="P30" s="115"/>
      <c r="Q30" s="444">
        <v>4</v>
      </c>
      <c r="R30" s="445">
        <v>0</v>
      </c>
    </row>
    <row r="31" spans="10:18" ht="13.5" thickBot="1">
      <c r="J31" s="349">
        <v>4</v>
      </c>
      <c r="K31" s="350">
        <v>0</v>
      </c>
      <c r="N31" s="352">
        <v>9</v>
      </c>
      <c r="O31" s="443">
        <v>2.89</v>
      </c>
      <c r="P31" s="115"/>
      <c r="Q31" s="115"/>
      <c r="R31" s="390"/>
    </row>
    <row r="32" spans="2:18" ht="13.5" thickBot="1">
      <c r="B32" s="129" t="s">
        <v>84</v>
      </c>
      <c r="E32" s="129" t="s">
        <v>85</v>
      </c>
      <c r="H32" s="477" t="s">
        <v>100</v>
      </c>
      <c r="K32" s="477" t="s">
        <v>101</v>
      </c>
      <c r="N32" s="352">
        <v>8</v>
      </c>
      <c r="O32" s="443">
        <v>2.56</v>
      </c>
      <c r="P32" s="115"/>
      <c r="Q32" s="129" t="s">
        <v>156</v>
      </c>
      <c r="R32" s="621"/>
    </row>
    <row r="33" spans="2:18" ht="13.5" thickBot="1">
      <c r="B33" s="435" t="s">
        <v>86</v>
      </c>
      <c r="C33" s="435" t="s">
        <v>0</v>
      </c>
      <c r="D33" s="113"/>
      <c r="E33" s="435" t="s">
        <v>86</v>
      </c>
      <c r="F33" s="435" t="s">
        <v>0</v>
      </c>
      <c r="G33" s="113"/>
      <c r="H33" s="435" t="s">
        <v>86</v>
      </c>
      <c r="I33" s="435" t="s">
        <v>0</v>
      </c>
      <c r="J33" s="435"/>
      <c r="K33" s="435" t="s">
        <v>86</v>
      </c>
      <c r="L33" s="435" t="s">
        <v>0</v>
      </c>
      <c r="M33" s="113"/>
      <c r="N33" s="352">
        <v>7</v>
      </c>
      <c r="O33" s="443">
        <v>2.15</v>
      </c>
      <c r="P33" s="115"/>
      <c r="Q33" s="347" t="s">
        <v>61</v>
      </c>
      <c r="R33" s="348" t="s">
        <v>0</v>
      </c>
    </row>
    <row r="34" spans="2:18" ht="12.75">
      <c r="B34" s="583" t="s">
        <v>87</v>
      </c>
      <c r="C34" s="531">
        <v>1</v>
      </c>
      <c r="D34" s="415"/>
      <c r="E34" s="531" t="s">
        <v>102</v>
      </c>
      <c r="F34" s="584">
        <v>0.99976661332114</v>
      </c>
      <c r="G34" s="415"/>
      <c r="H34" s="531" t="s">
        <v>102</v>
      </c>
      <c r="I34" s="584">
        <v>0.99976661332114</v>
      </c>
      <c r="J34" s="407"/>
      <c r="K34" s="531" t="s">
        <v>88</v>
      </c>
      <c r="L34" s="584">
        <v>0.8331388444342834</v>
      </c>
      <c r="M34" s="415"/>
      <c r="N34" s="352">
        <v>6</v>
      </c>
      <c r="O34" s="443">
        <v>1.67</v>
      </c>
      <c r="P34" s="115"/>
      <c r="Q34" s="442">
        <v>10</v>
      </c>
      <c r="R34" s="443">
        <v>1.94</v>
      </c>
    </row>
    <row r="35" spans="2:18" ht="12.75">
      <c r="B35" s="531">
        <v>10</v>
      </c>
      <c r="C35" s="584">
        <v>0.9722222222222223</v>
      </c>
      <c r="D35" s="415"/>
      <c r="E35" s="531" t="s">
        <v>103</v>
      </c>
      <c r="F35" s="584">
        <v>0.9915980795610425</v>
      </c>
      <c r="G35" s="415"/>
      <c r="H35" s="531">
        <v>10</v>
      </c>
      <c r="I35" s="584">
        <v>0.9915980795610425</v>
      </c>
      <c r="J35" s="407"/>
      <c r="K35" s="531" t="s">
        <v>89</v>
      </c>
      <c r="L35" s="584">
        <v>0.8263317329675355</v>
      </c>
      <c r="M35" s="415"/>
      <c r="N35" s="352">
        <v>5</v>
      </c>
      <c r="O35" s="443">
        <v>1.19</v>
      </c>
      <c r="P35" s="115"/>
      <c r="Q35" s="442">
        <v>9</v>
      </c>
      <c r="R35" s="443">
        <v>1.39</v>
      </c>
    </row>
    <row r="36" spans="2:18" ht="12.75">
      <c r="B36" s="531" t="s">
        <v>90</v>
      </c>
      <c r="C36" s="584">
        <v>0.9444444444444444</v>
      </c>
      <c r="D36" s="415"/>
      <c r="E36" s="531">
        <v>10</v>
      </c>
      <c r="F36" s="584">
        <v>0.9814814814814814</v>
      </c>
      <c r="G36" s="415"/>
      <c r="H36" s="531" t="s">
        <v>103</v>
      </c>
      <c r="I36" s="584">
        <v>0.9814814814814814</v>
      </c>
      <c r="J36" s="407"/>
      <c r="K36" s="531">
        <v>10</v>
      </c>
      <c r="L36" s="584">
        <v>0.8179012345679012</v>
      </c>
      <c r="M36" s="415"/>
      <c r="N36" s="352">
        <v>4</v>
      </c>
      <c r="O36" s="443">
        <v>0.77</v>
      </c>
      <c r="P36" s="115"/>
      <c r="Q36" s="442">
        <v>8</v>
      </c>
      <c r="R36" s="443">
        <v>0.83</v>
      </c>
    </row>
    <row r="37" spans="2:18" ht="12.75">
      <c r="B37" s="531">
        <v>8</v>
      </c>
      <c r="C37" s="584">
        <v>0.9166666666666667</v>
      </c>
      <c r="D37" s="415"/>
      <c r="E37" s="531" t="s">
        <v>104</v>
      </c>
      <c r="F37" s="584">
        <v>0.9814814814814815</v>
      </c>
      <c r="G37" s="415"/>
      <c r="H37" s="551" t="s">
        <v>104</v>
      </c>
      <c r="I37" s="584">
        <v>0.9814814814814815</v>
      </c>
      <c r="J37" s="407"/>
      <c r="K37" s="531" t="s">
        <v>91</v>
      </c>
      <c r="L37" s="584">
        <v>0.8179012345679013</v>
      </c>
      <c r="M37" s="415"/>
      <c r="N37" s="352">
        <v>3</v>
      </c>
      <c r="O37" s="443">
        <v>0.45</v>
      </c>
      <c r="P37" s="115"/>
      <c r="Q37" s="442">
        <v>7</v>
      </c>
      <c r="R37" s="443">
        <v>0.46</v>
      </c>
    </row>
    <row r="38" spans="2:18" ht="12.75">
      <c r="B38" s="531" t="s">
        <v>92</v>
      </c>
      <c r="C38" s="584">
        <v>0.8888888888888888</v>
      </c>
      <c r="D38" s="415"/>
      <c r="E38" s="531" t="s">
        <v>105</v>
      </c>
      <c r="F38" s="584">
        <v>0.948559670781893</v>
      </c>
      <c r="G38" s="415"/>
      <c r="H38" s="561" t="s">
        <v>105</v>
      </c>
      <c r="I38" s="584">
        <v>0.948559670781893</v>
      </c>
      <c r="J38" s="407"/>
      <c r="K38" s="531" t="s">
        <v>93</v>
      </c>
      <c r="L38" s="584">
        <v>0.7904663923182441</v>
      </c>
      <c r="M38" s="415"/>
      <c r="N38" s="352">
        <v>2</v>
      </c>
      <c r="O38" s="443">
        <v>0.22</v>
      </c>
      <c r="P38" s="115"/>
      <c r="Q38" s="442">
        <v>6</v>
      </c>
      <c r="R38" s="443">
        <v>0.28</v>
      </c>
    </row>
    <row r="39" spans="2:18" ht="12.75">
      <c r="B39" s="531">
        <v>6</v>
      </c>
      <c r="C39" s="584">
        <v>0.8611111111111112</v>
      </c>
      <c r="D39" s="415"/>
      <c r="E39" s="531">
        <v>9</v>
      </c>
      <c r="F39" s="584">
        <v>0.9444444444444444</v>
      </c>
      <c r="G39" s="415"/>
      <c r="H39" s="586">
        <v>9</v>
      </c>
      <c r="I39" s="584">
        <v>0.9444444444444444</v>
      </c>
      <c r="J39" s="407"/>
      <c r="K39" s="531">
        <v>9</v>
      </c>
      <c r="L39" s="584">
        <v>0.7870370370370371</v>
      </c>
      <c r="M39" s="415"/>
      <c r="N39" s="352">
        <v>1</v>
      </c>
      <c r="O39" s="443">
        <v>0.08</v>
      </c>
      <c r="P39" s="115"/>
      <c r="Q39" s="442">
        <v>5</v>
      </c>
      <c r="R39" s="443">
        <v>0.28</v>
      </c>
    </row>
    <row r="40" spans="2:18" ht="13.5" thickBot="1">
      <c r="B40" s="531">
        <v>5</v>
      </c>
      <c r="C40" s="584">
        <v>0.8333333333333334</v>
      </c>
      <c r="D40" s="415"/>
      <c r="E40" s="531">
        <v>8</v>
      </c>
      <c r="F40" s="584">
        <v>0.8888888888888888</v>
      </c>
      <c r="G40" s="415"/>
      <c r="H40" s="588" t="s">
        <v>106</v>
      </c>
      <c r="I40" s="584">
        <v>0.8888888888888888</v>
      </c>
      <c r="J40" s="407"/>
      <c r="K40" s="531">
        <v>8</v>
      </c>
      <c r="L40" s="584">
        <v>0.7407407407407407</v>
      </c>
      <c r="M40" s="415"/>
      <c r="N40" s="349">
        <v>0</v>
      </c>
      <c r="O40" s="445">
        <v>0.02</v>
      </c>
      <c r="P40" s="115"/>
      <c r="Q40" s="444">
        <v>4</v>
      </c>
      <c r="R40" s="445">
        <v>0.28</v>
      </c>
    </row>
    <row r="41" spans="2:18" ht="12.75">
      <c r="B41" s="531" t="s">
        <v>94</v>
      </c>
      <c r="C41" s="584">
        <v>0.75</v>
      </c>
      <c r="D41" s="415"/>
      <c r="E41" s="531" t="s">
        <v>106</v>
      </c>
      <c r="F41" s="584">
        <v>0.8842592592592593</v>
      </c>
      <c r="G41" s="415"/>
      <c r="H41" s="531">
        <v>8</v>
      </c>
      <c r="I41" s="584">
        <v>0.8842592592592593</v>
      </c>
      <c r="J41" s="407"/>
      <c r="K41" s="531" t="s">
        <v>95</v>
      </c>
      <c r="L41" s="584">
        <v>0.7368827160493828</v>
      </c>
      <c r="M41" s="415"/>
      <c r="P41" s="115"/>
      <c r="Q41" s="115"/>
      <c r="R41" s="390"/>
    </row>
    <row r="42" spans="2:18" ht="13.5" thickBot="1">
      <c r="B42" s="531">
        <v>4</v>
      </c>
      <c r="C42" s="584">
        <v>0.6666666666666666</v>
      </c>
      <c r="D42" s="415"/>
      <c r="E42" s="531">
        <v>7</v>
      </c>
      <c r="F42" s="584">
        <v>0.8148148148148148</v>
      </c>
      <c r="G42" s="415"/>
      <c r="H42" s="531">
        <v>7</v>
      </c>
      <c r="I42" s="584">
        <v>0.8148148148148148</v>
      </c>
      <c r="J42" s="407"/>
      <c r="K42" s="531">
        <v>7</v>
      </c>
      <c r="L42" s="584">
        <v>0.6790123456790124</v>
      </c>
      <c r="M42" s="415"/>
      <c r="N42" s="622" t="s">
        <v>152</v>
      </c>
      <c r="O42" s="622"/>
      <c r="P42" s="115"/>
      <c r="Q42" s="129" t="s">
        <v>158</v>
      </c>
      <c r="R42" s="621"/>
    </row>
    <row r="43" spans="2:18" ht="13.5" thickBot="1">
      <c r="B43" s="531" t="s">
        <v>96</v>
      </c>
      <c r="C43" s="584">
        <v>0.5555555555555556</v>
      </c>
      <c r="D43" s="415"/>
      <c r="E43" s="531" t="s">
        <v>107</v>
      </c>
      <c r="F43" s="584">
        <v>0.7731481481481481</v>
      </c>
      <c r="G43" s="415"/>
      <c r="H43" s="531" t="s">
        <v>107</v>
      </c>
      <c r="I43" s="584">
        <v>0.7731481481481481</v>
      </c>
      <c r="J43" s="407"/>
      <c r="K43" s="531" t="s">
        <v>97</v>
      </c>
      <c r="L43" s="584">
        <v>0.6442901234567902</v>
      </c>
      <c r="M43" s="415"/>
      <c r="N43" s="347" t="s">
        <v>61</v>
      </c>
      <c r="O43" s="348" t="s">
        <v>0</v>
      </c>
      <c r="P43" s="115"/>
      <c r="Q43" s="347" t="s">
        <v>61</v>
      </c>
      <c r="R43" s="348" t="s">
        <v>0</v>
      </c>
    </row>
    <row r="44" spans="2:18" ht="12.75">
      <c r="B44" s="531">
        <v>3</v>
      </c>
      <c r="C44" s="584">
        <v>0.5</v>
      </c>
      <c r="D44" s="415"/>
      <c r="E44" s="531">
        <v>6</v>
      </c>
      <c r="F44" s="584">
        <v>0.7222222222222222</v>
      </c>
      <c r="G44" s="415"/>
      <c r="H44" s="531">
        <v>6</v>
      </c>
      <c r="I44" s="584">
        <v>0.7222222222222222</v>
      </c>
      <c r="J44" s="407"/>
      <c r="K44" s="531">
        <v>6</v>
      </c>
      <c r="L44" s="584">
        <v>0.6018518518518519</v>
      </c>
      <c r="M44" s="415"/>
      <c r="N44" s="352">
        <v>10</v>
      </c>
      <c r="O44" s="384">
        <v>3.92</v>
      </c>
      <c r="P44" s="115"/>
      <c r="Q44" s="442">
        <v>10</v>
      </c>
      <c r="R44" s="443">
        <v>2.5</v>
      </c>
    </row>
    <row r="45" spans="2:18" ht="12.75">
      <c r="B45" s="531">
        <v>2</v>
      </c>
      <c r="C45" s="584">
        <v>0.3333333333333333</v>
      </c>
      <c r="D45" s="415"/>
      <c r="E45" s="531" t="s">
        <v>108</v>
      </c>
      <c r="F45" s="584">
        <v>0.6522633744855967</v>
      </c>
      <c r="G45" s="415"/>
      <c r="H45" s="531" t="s">
        <v>108</v>
      </c>
      <c r="I45" s="584">
        <v>0.6522633744855967</v>
      </c>
      <c r="J45" s="407"/>
      <c r="K45" s="531" t="s">
        <v>98</v>
      </c>
      <c r="L45" s="584">
        <v>0.5435528120713305</v>
      </c>
      <c r="M45" s="415"/>
      <c r="N45" s="352">
        <v>9</v>
      </c>
      <c r="O45" s="384">
        <v>3.64</v>
      </c>
      <c r="P45" s="115"/>
      <c r="Q45" s="442">
        <v>9</v>
      </c>
      <c r="R45" s="443">
        <v>1.94</v>
      </c>
    </row>
    <row r="46" spans="2:18" ht="12.75">
      <c r="B46" s="531" t="s">
        <v>99</v>
      </c>
      <c r="C46" s="584">
        <v>0.3055555555555556</v>
      </c>
      <c r="D46" s="415"/>
      <c r="E46" s="531">
        <v>5</v>
      </c>
      <c r="F46" s="584">
        <v>0.6111111111111112</v>
      </c>
      <c r="G46" s="415"/>
      <c r="H46" s="531">
        <v>5</v>
      </c>
      <c r="I46" s="584">
        <v>0.6111111111111112</v>
      </c>
      <c r="J46" s="407"/>
      <c r="K46" s="531">
        <v>5</v>
      </c>
      <c r="L46" s="584">
        <v>0.5092592592592593</v>
      </c>
      <c r="M46" s="415"/>
      <c r="N46" s="352">
        <v>8</v>
      </c>
      <c r="O46" s="384">
        <v>3.25</v>
      </c>
      <c r="P46" s="115"/>
      <c r="Q46" s="442">
        <v>8</v>
      </c>
      <c r="R46" s="443">
        <v>1.39</v>
      </c>
    </row>
    <row r="47" spans="2:18" ht="12.75">
      <c r="B47" s="531">
        <v>1</v>
      </c>
      <c r="C47" s="584">
        <v>0.16666666666666666</v>
      </c>
      <c r="D47" s="415"/>
      <c r="E47" s="531" t="s">
        <v>109</v>
      </c>
      <c r="F47" s="584">
        <v>0.537037037037037</v>
      </c>
      <c r="G47" s="415"/>
      <c r="H47" s="531" t="s">
        <v>109</v>
      </c>
      <c r="I47" s="584">
        <v>0.537037037037037</v>
      </c>
      <c r="J47" s="407"/>
      <c r="K47" s="531" t="s">
        <v>94</v>
      </c>
      <c r="L47" s="584">
        <v>0.44753086419753085</v>
      </c>
      <c r="M47" s="415"/>
      <c r="N47" s="352">
        <v>7</v>
      </c>
      <c r="O47" s="384">
        <v>2.74</v>
      </c>
      <c r="P47" s="115"/>
      <c r="Q47" s="442">
        <v>7</v>
      </c>
      <c r="R47" s="443">
        <v>0.83</v>
      </c>
    </row>
    <row r="48" spans="5:18" ht="13.5" thickBot="1">
      <c r="E48" s="531">
        <v>4</v>
      </c>
      <c r="F48" s="584">
        <v>0.5185185185185185</v>
      </c>
      <c r="G48" s="415"/>
      <c r="H48" s="531">
        <v>4</v>
      </c>
      <c r="I48" s="584">
        <v>0.5185185185185185</v>
      </c>
      <c r="J48" s="407"/>
      <c r="K48" s="531">
        <v>4</v>
      </c>
      <c r="L48" s="584">
        <v>0.43209876543209874</v>
      </c>
      <c r="M48" s="415"/>
      <c r="N48" s="352">
        <v>6</v>
      </c>
      <c r="O48" s="384">
        <v>2.15</v>
      </c>
      <c r="P48" s="115"/>
      <c r="Q48" s="444">
        <v>6</v>
      </c>
      <c r="R48" s="445">
        <v>0.28</v>
      </c>
    </row>
    <row r="49" spans="5:18" ht="12.75">
      <c r="E49" s="531">
        <v>3</v>
      </c>
      <c r="F49" s="584">
        <v>0.4444444444444444</v>
      </c>
      <c r="G49" s="415"/>
      <c r="H49" s="531" t="s">
        <v>110</v>
      </c>
      <c r="I49" s="584">
        <v>0.4444444444444444</v>
      </c>
      <c r="J49" s="407"/>
      <c r="K49" s="531">
        <v>3</v>
      </c>
      <c r="L49" s="584">
        <v>0.37037037037037035</v>
      </c>
      <c r="M49" s="415"/>
      <c r="N49" s="352">
        <v>5</v>
      </c>
      <c r="O49" s="384">
        <v>1.54</v>
      </c>
      <c r="P49" s="115"/>
      <c r="Q49" s="115"/>
      <c r="R49" s="390"/>
    </row>
    <row r="50" spans="5:18" ht="12.75">
      <c r="E50" s="531" t="s">
        <v>110</v>
      </c>
      <c r="F50" s="584">
        <v>0.43981481481481477</v>
      </c>
      <c r="G50" s="415"/>
      <c r="H50" s="531">
        <v>3</v>
      </c>
      <c r="I50" s="584">
        <v>0.43981481481481477</v>
      </c>
      <c r="J50" s="407"/>
      <c r="K50" s="531" t="s">
        <v>96</v>
      </c>
      <c r="L50" s="584">
        <v>0.3665123456790123</v>
      </c>
      <c r="M50" s="415"/>
      <c r="N50" s="352">
        <v>4</v>
      </c>
      <c r="O50" s="384">
        <v>1.01</v>
      </c>
      <c r="P50" s="115"/>
      <c r="Q50" s="115"/>
      <c r="R50" s="390"/>
    </row>
    <row r="51" spans="5:18" ht="12.75">
      <c r="E51" s="531">
        <v>2</v>
      </c>
      <c r="F51" s="584">
        <v>0.38888888888888884</v>
      </c>
      <c r="G51" s="415"/>
      <c r="H51" s="531">
        <v>2</v>
      </c>
      <c r="I51" s="584">
        <v>0.38888888888888884</v>
      </c>
      <c r="J51" s="407"/>
      <c r="K51" s="531">
        <v>2</v>
      </c>
      <c r="L51" s="584">
        <v>0.32407407407407407</v>
      </c>
      <c r="M51" s="415"/>
      <c r="N51" s="352">
        <v>3</v>
      </c>
      <c r="O51" s="384">
        <v>0.59</v>
      </c>
      <c r="P51" s="115"/>
      <c r="Q51" s="115"/>
      <c r="R51" s="390"/>
    </row>
    <row r="52" spans="5:18" ht="12.75">
      <c r="E52" s="531" t="s">
        <v>111</v>
      </c>
      <c r="F52" s="584">
        <v>0.3698559670781893</v>
      </c>
      <c r="G52" s="415"/>
      <c r="H52" s="531" t="s">
        <v>111</v>
      </c>
      <c r="I52" s="584">
        <v>0.3698559670781893</v>
      </c>
      <c r="J52" s="407"/>
      <c r="K52" s="531" t="s">
        <v>99</v>
      </c>
      <c r="L52" s="584">
        <v>0.3082133058984911</v>
      </c>
      <c r="M52" s="415"/>
      <c r="N52" s="352">
        <v>2</v>
      </c>
      <c r="O52" s="384">
        <v>0.31</v>
      </c>
      <c r="P52" s="115"/>
      <c r="Q52" s="115"/>
      <c r="R52" s="390"/>
    </row>
    <row r="53" spans="5:18" ht="12.75">
      <c r="E53" s="531">
        <v>1</v>
      </c>
      <c r="F53" s="584">
        <v>0.35185185185185186</v>
      </c>
      <c r="G53" s="415"/>
      <c r="H53" s="531">
        <v>1</v>
      </c>
      <c r="I53" s="584">
        <v>0.35185185185185186</v>
      </c>
      <c r="J53" s="407"/>
      <c r="K53" s="531">
        <v>1</v>
      </c>
      <c r="L53" s="584">
        <v>0.2932098765432099</v>
      </c>
      <c r="M53" s="415"/>
      <c r="N53" s="352">
        <v>1</v>
      </c>
      <c r="O53" s="384">
        <v>0.12</v>
      </c>
      <c r="P53" s="115"/>
      <c r="Q53" s="115"/>
      <c r="R53" s="390"/>
    </row>
    <row r="54" spans="14:18" ht="13.5" thickBot="1">
      <c r="N54" s="349">
        <v>0</v>
      </c>
      <c r="O54" s="350">
        <v>0.04</v>
      </c>
      <c r="P54" s="115"/>
      <c r="Q54" s="115"/>
      <c r="R54" s="390"/>
    </row>
    <row r="55" ht="13.5" thickBot="1"/>
    <row r="56" spans="1:26" ht="16.5" thickBot="1">
      <c r="A56" s="391"/>
      <c r="B56" s="416" t="s">
        <v>11</v>
      </c>
      <c r="C56" s="417" t="s">
        <v>17</v>
      </c>
      <c r="D56" s="418"/>
      <c r="E56" s="418"/>
      <c r="F56" s="418"/>
      <c r="G56" s="418"/>
      <c r="H56" s="419"/>
      <c r="I56" s="738" t="s">
        <v>124</v>
      </c>
      <c r="J56" s="722"/>
      <c r="K56" s="738" t="s">
        <v>119</v>
      </c>
      <c r="L56" s="732"/>
      <c r="M56" s="735" t="s">
        <v>59</v>
      </c>
      <c r="N56" s="737"/>
      <c r="O56" s="735" t="s">
        <v>115</v>
      </c>
      <c r="P56" s="726"/>
      <c r="Q56" s="727" t="s">
        <v>117</v>
      </c>
      <c r="R56" s="728"/>
      <c r="S56" s="714"/>
      <c r="T56" s="723" t="s">
        <v>127</v>
      </c>
      <c r="U56" s="724"/>
      <c r="V56" s="724"/>
      <c r="W56" s="724"/>
      <c r="X56" s="724"/>
      <c r="Y56" s="724"/>
      <c r="Z56" s="725"/>
    </row>
    <row r="57" spans="1:26" ht="13.5" thickBot="1">
      <c r="A57" s="389"/>
      <c r="B57" s="398"/>
      <c r="C57" s="398"/>
      <c r="D57" s="398"/>
      <c r="E57" s="398"/>
      <c r="F57" s="398"/>
      <c r="G57" s="398"/>
      <c r="H57" s="398"/>
      <c r="I57" s="452" t="s">
        <v>19</v>
      </c>
      <c r="J57" s="452" t="s">
        <v>20</v>
      </c>
      <c r="K57" s="351" t="s">
        <v>120</v>
      </c>
      <c r="L57" s="428" t="s">
        <v>121</v>
      </c>
      <c r="M57" s="476" t="s">
        <v>0</v>
      </c>
      <c r="N57" s="477" t="s">
        <v>116</v>
      </c>
      <c r="O57" s="463" t="s">
        <v>0</v>
      </c>
      <c r="P57" s="589" t="s">
        <v>116</v>
      </c>
      <c r="Q57" s="463" t="s">
        <v>118</v>
      </c>
      <c r="R57" s="429" t="s">
        <v>114</v>
      </c>
      <c r="S57" s="595" t="s">
        <v>116</v>
      </c>
      <c r="T57" s="596">
        <v>1</v>
      </c>
      <c r="U57" s="568">
        <v>2</v>
      </c>
      <c r="V57" s="568">
        <v>3</v>
      </c>
      <c r="W57" s="568">
        <v>4</v>
      </c>
      <c r="X57" s="568">
        <v>5</v>
      </c>
      <c r="Y57" s="568">
        <v>6</v>
      </c>
      <c r="Z57" s="569" t="s">
        <v>28</v>
      </c>
    </row>
    <row r="58" spans="1:26" ht="13.5" thickBot="1">
      <c r="A58" s="392"/>
      <c r="B58" s="421" t="s">
        <v>12</v>
      </c>
      <c r="C58" s="422"/>
      <c r="D58" s="422"/>
      <c r="E58" s="422"/>
      <c r="F58" s="422"/>
      <c r="G58" s="422"/>
      <c r="H58" s="423"/>
      <c r="I58" s="350">
        <f>SUM(I59:I76)</f>
        <v>0</v>
      </c>
      <c r="J58" s="350">
        <f>SUM(J59:J76)</f>
        <v>0</v>
      </c>
      <c r="K58" s="350"/>
      <c r="L58" s="350">
        <f>SUM(L59:L76)</f>
        <v>0</v>
      </c>
      <c r="M58" s="459">
        <f>SUM(M59:M76)</f>
        <v>15.833333333333332</v>
      </c>
      <c r="N58" s="466">
        <f>SUM(N59:N76)</f>
        <v>0</v>
      </c>
      <c r="O58" s="459">
        <f>SUM(O59:O76)</f>
        <v>20.357142857142858</v>
      </c>
      <c r="P58" s="459">
        <f>SUM(P59:P76)</f>
        <v>0</v>
      </c>
      <c r="Q58" s="459"/>
      <c r="R58" s="459"/>
      <c r="S58" s="501">
        <f>SUM(S59:S76)</f>
        <v>0</v>
      </c>
      <c r="T58" s="598"/>
      <c r="U58" s="599"/>
      <c r="V58" s="599"/>
      <c r="W58" s="599"/>
      <c r="X58" s="599"/>
      <c r="Y58" s="599"/>
      <c r="Z58" s="600"/>
    </row>
    <row r="59" spans="1:26" ht="15.75">
      <c r="A59" s="393">
        <v>1</v>
      </c>
      <c r="B59" s="424" t="s">
        <v>418</v>
      </c>
      <c r="C59" s="390"/>
      <c r="D59" s="390"/>
      <c r="I59" s="425"/>
      <c r="J59" s="408"/>
      <c r="K59" s="425"/>
      <c r="L59" s="425"/>
      <c r="M59" s="467"/>
      <c r="N59" s="467"/>
      <c r="O59" s="467"/>
      <c r="P59" s="467"/>
      <c r="Q59" s="467"/>
      <c r="R59" s="467"/>
      <c r="S59" s="468"/>
      <c r="T59" s="601"/>
      <c r="U59" s="602"/>
      <c r="V59" s="602"/>
      <c r="W59" s="602"/>
      <c r="X59" s="602"/>
      <c r="Y59" s="602"/>
      <c r="Z59" s="603"/>
    </row>
    <row r="60" spans="1:26" ht="15.75">
      <c r="A60" s="393"/>
      <c r="B60" s="426" t="s">
        <v>19</v>
      </c>
      <c r="C60" s="390"/>
      <c r="D60" s="390"/>
      <c r="I60" s="425"/>
      <c r="J60" s="408"/>
      <c r="K60" s="425"/>
      <c r="L60" s="425"/>
      <c r="M60" s="467"/>
      <c r="N60" s="467"/>
      <c r="O60" s="467"/>
      <c r="P60" s="467"/>
      <c r="Q60" s="467"/>
      <c r="R60" s="467"/>
      <c r="S60" s="468"/>
      <c r="T60" s="601"/>
      <c r="U60" s="602"/>
      <c r="V60" s="602"/>
      <c r="W60" s="602"/>
      <c r="X60" s="602"/>
      <c r="Y60" s="602"/>
      <c r="Z60" s="603"/>
    </row>
    <row r="61" spans="1:26" ht="15.75">
      <c r="A61" s="393"/>
      <c r="B61" s="426"/>
      <c r="C61" s="390" t="s">
        <v>274</v>
      </c>
      <c r="D61" s="390"/>
      <c r="I61" s="425">
        <f>'CUARTEL GENERAL'!H32+'CUARTEL GENERAL'!H45+'CUARTEL GENERAL'!H62+'CUARTEL GENERAL'!H78+'CUARTEL GENERAL'!H36+'CUARTEL GENERAL'!H49+'CUARTEL GENERAL'!H66+'CUARTEL GENERAL'!H82</f>
        <v>0</v>
      </c>
      <c r="J61" s="408"/>
      <c r="K61" s="425">
        <v>1</v>
      </c>
      <c r="L61" s="425">
        <f>K61*(I61+J61)</f>
        <v>0</v>
      </c>
      <c r="M61" s="467">
        <f>C20</f>
        <v>0.8333333333333333</v>
      </c>
      <c r="N61" s="467">
        <f>L61*M61</f>
        <v>0</v>
      </c>
      <c r="O61" s="467">
        <f>G23</f>
        <v>1.0714285714285714</v>
      </c>
      <c r="P61" s="467">
        <f>O61*L61</f>
        <v>0</v>
      </c>
      <c r="Q61" s="467">
        <f>K18</f>
        <v>0.37</v>
      </c>
      <c r="R61" s="467">
        <v>0.8333333333333334</v>
      </c>
      <c r="S61" s="468">
        <f>L61*Q61*R61</f>
        <v>0</v>
      </c>
      <c r="T61" s="601"/>
      <c r="U61" s="604">
        <f>S61</f>
        <v>0</v>
      </c>
      <c r="V61" s="602"/>
      <c r="W61" s="602"/>
      <c r="X61" s="604"/>
      <c r="Y61" s="602"/>
      <c r="Z61" s="603"/>
    </row>
    <row r="62" spans="1:26" ht="15.75">
      <c r="A62" s="393"/>
      <c r="B62" s="426"/>
      <c r="C62" s="390" t="s">
        <v>412</v>
      </c>
      <c r="D62" s="390"/>
      <c r="I62" s="425">
        <f>'CUARTEL GENERAL'!H29+'CUARTEL GENERAL'!H34+'CUARTEL GENERAL'!H42+'CUARTEL GENERAL'!H47+'CUARTEL GENERAL'!H53+'CUARTEL GENERAL'!H59+'CUARTEL GENERAL'!H64+'CUARTEL GENERAL'!H69+'CUARTEL GENERAL'!H75+'CUARTEL GENERAL'!H80+'CUARTEL GENERAL'!H86</f>
        <v>0</v>
      </c>
      <c r="J62" s="408"/>
      <c r="K62" s="425">
        <v>1.5</v>
      </c>
      <c r="L62" s="425">
        <f>K62*(I62+J62)</f>
        <v>0</v>
      </c>
      <c r="M62" s="467">
        <f>C19</f>
        <v>1.25</v>
      </c>
      <c r="N62" s="467">
        <f>L62*M62</f>
        <v>0</v>
      </c>
      <c r="O62" s="467">
        <f>G22</f>
        <v>1.4285714285714284</v>
      </c>
      <c r="P62" s="467">
        <f>O62*L62</f>
        <v>0</v>
      </c>
      <c r="Q62" s="467">
        <f>K18</f>
        <v>0.37</v>
      </c>
      <c r="R62" s="467">
        <v>0.8333333333333334</v>
      </c>
      <c r="S62" s="468">
        <f>L62*Q62*R62</f>
        <v>0</v>
      </c>
      <c r="T62" s="601"/>
      <c r="U62" s="604">
        <f>S62</f>
        <v>0</v>
      </c>
      <c r="V62" s="602"/>
      <c r="W62" s="602"/>
      <c r="X62" s="604"/>
      <c r="Y62" s="602"/>
      <c r="Z62" s="603"/>
    </row>
    <row r="63" spans="1:26" ht="15.75">
      <c r="A63" s="393"/>
      <c r="B63" s="426"/>
      <c r="C63" s="390" t="s">
        <v>413</v>
      </c>
      <c r="D63" s="390"/>
      <c r="I63" s="425">
        <f>'CUARTEL GENERAL'!E5+'CUARTEL GENERAL'!E6</f>
        <v>0</v>
      </c>
      <c r="J63" s="408"/>
      <c r="K63" s="425">
        <v>1.5</v>
      </c>
      <c r="L63" s="425">
        <f>K63*(I63+J63)</f>
        <v>0</v>
      </c>
      <c r="M63" s="425">
        <f>M62</f>
        <v>1.25</v>
      </c>
      <c r="N63" s="467">
        <f>L63*M63</f>
        <v>0</v>
      </c>
      <c r="O63" s="468">
        <f>O62</f>
        <v>1.4285714285714284</v>
      </c>
      <c r="P63" s="467">
        <f>O63*L63</f>
        <v>0</v>
      </c>
      <c r="Q63" s="468">
        <f>Q62</f>
        <v>0.37</v>
      </c>
      <c r="R63" s="467">
        <v>0.9444444444444444</v>
      </c>
      <c r="S63" s="468">
        <f>L63*Q63*R63</f>
        <v>0</v>
      </c>
      <c r="T63" s="601"/>
      <c r="U63" s="604">
        <f>S63</f>
        <v>0</v>
      </c>
      <c r="V63" s="602"/>
      <c r="W63" s="602"/>
      <c r="X63" s="604"/>
      <c r="Y63" s="602"/>
      <c r="Z63" s="603"/>
    </row>
    <row r="64" spans="1:26" ht="15.75">
      <c r="A64" s="393"/>
      <c r="B64" s="426"/>
      <c r="C64" s="390" t="s">
        <v>414</v>
      </c>
      <c r="D64" s="390"/>
      <c r="I64" s="425">
        <f>'CUARTEL GENERAL'!H30+'CUARTEL GENERAL'!H35+'CUARTEL GENERAL'!H43+'CUARTEL GENERAL'!H48+'CUARTEL GENERAL'!H54+'CUARTEL GENERAL'!H60+'CUARTEL GENERAL'!H65+'CUARTEL GENERAL'!H70+'CUARTEL GENERAL'!H76+'CUARTEL GENERAL'!H81+'CUARTEL GENERAL'!H87</f>
        <v>0</v>
      </c>
      <c r="J64" s="408"/>
      <c r="K64" s="425">
        <v>1</v>
      </c>
      <c r="L64" s="425">
        <f>K64*(I64+J64)</f>
        <v>0</v>
      </c>
      <c r="M64" s="468">
        <f>C20</f>
        <v>0.8333333333333333</v>
      </c>
      <c r="N64" s="467">
        <f>L64*M64</f>
        <v>0</v>
      </c>
      <c r="O64" s="468">
        <f>G23</f>
        <v>1.0714285714285714</v>
      </c>
      <c r="P64" s="467">
        <f>O64*L64</f>
        <v>0</v>
      </c>
      <c r="Q64" s="468">
        <f>O46</f>
        <v>3.25</v>
      </c>
      <c r="R64" s="467">
        <v>0.8333333333333334</v>
      </c>
      <c r="S64" s="468">
        <f>L64*Q64*R64</f>
        <v>0</v>
      </c>
      <c r="T64" s="604">
        <f>S64</f>
        <v>0</v>
      </c>
      <c r="U64" s="604"/>
      <c r="V64" s="602"/>
      <c r="W64" s="602"/>
      <c r="Y64" s="602"/>
      <c r="Z64" s="603"/>
    </row>
    <row r="65" spans="1:26" ht="15.75">
      <c r="A65" s="393"/>
      <c r="B65" s="426" t="s">
        <v>419</v>
      </c>
      <c r="C65" s="390"/>
      <c r="D65" s="390"/>
      <c r="I65" s="425"/>
      <c r="J65" s="408"/>
      <c r="K65" s="425"/>
      <c r="L65" s="425"/>
      <c r="M65" s="468"/>
      <c r="N65" s="467"/>
      <c r="O65" s="468"/>
      <c r="P65" s="467"/>
      <c r="Q65" s="468"/>
      <c r="R65" s="467"/>
      <c r="S65" s="468"/>
      <c r="T65" s="601"/>
      <c r="U65" s="604"/>
      <c r="V65" s="602"/>
      <c r="W65" s="602"/>
      <c r="X65" s="605"/>
      <c r="Y65" s="602"/>
      <c r="Z65" s="603"/>
    </row>
    <row r="66" spans="1:26" ht="15.75">
      <c r="A66" s="393"/>
      <c r="B66" s="426"/>
      <c r="C66" s="390" t="s">
        <v>274</v>
      </c>
      <c r="D66" s="390"/>
      <c r="I66" s="425">
        <f>'CUARTEL GENERAL'!I32+'CUARTEL GENERAL'!I33+'CUARTEL GENERAL'!I36+'CUARTEL GENERAL'!I45+'CUARTEL GENERAL'!I46+'CUARTEL GENERAL'!I49+'CUARTEL GENERAL'!I62+'CUARTEL GENERAL'!I63+'CUARTEL GENERAL'!I66+'CUARTEL GENERAL'!I78+'CUARTEL GENERAL'!I79+'CUARTEL GENERAL'!I82</f>
        <v>0</v>
      </c>
      <c r="J66" s="408"/>
      <c r="K66" s="425">
        <v>1</v>
      </c>
      <c r="L66" s="425">
        <f>K66*(I66+J66)</f>
        <v>0</v>
      </c>
      <c r="M66" s="467">
        <f>M61</f>
        <v>0.8333333333333333</v>
      </c>
      <c r="N66" s="467">
        <f>L66*M66</f>
        <v>0</v>
      </c>
      <c r="O66" s="467">
        <f>G22</f>
        <v>1.4285714285714284</v>
      </c>
      <c r="P66" s="467">
        <f>O66*L66</f>
        <v>0</v>
      </c>
      <c r="Q66" s="467">
        <f>Q61</f>
        <v>0.37</v>
      </c>
      <c r="R66" s="467">
        <v>0.8333333333333334</v>
      </c>
      <c r="S66" s="468">
        <f>L66*Q66*R66</f>
        <v>0</v>
      </c>
      <c r="T66" s="601"/>
      <c r="U66" s="604">
        <f>S66</f>
        <v>0</v>
      </c>
      <c r="V66" s="602"/>
      <c r="W66" s="602"/>
      <c r="X66" s="604"/>
      <c r="Y66" s="602"/>
      <c r="Z66" s="603"/>
    </row>
    <row r="67" spans="1:26" ht="15.75">
      <c r="A67" s="393"/>
      <c r="B67" s="426"/>
      <c r="C67" s="390" t="s">
        <v>412</v>
      </c>
      <c r="D67" s="390"/>
      <c r="I67" s="425">
        <f>'CUARTEL GENERAL'!I29+'CUARTEL GENERAL'!I34+'CUARTEL GENERAL'!I42+'CUARTEL GENERAL'!I47+'CUARTEL GENERAL'!I59+'CUARTEL GENERAL'!I64+'CUARTEL GENERAL'!I75+'CUARTEL GENERAL'!I80</f>
        <v>0</v>
      </c>
      <c r="J67" s="408"/>
      <c r="K67" s="425">
        <v>1.5</v>
      </c>
      <c r="L67" s="425">
        <f>K67*(I67+J67)</f>
        <v>0</v>
      </c>
      <c r="M67" s="467">
        <f>M62</f>
        <v>1.25</v>
      </c>
      <c r="N67" s="467">
        <f>L67*M67</f>
        <v>0</v>
      </c>
      <c r="O67" s="467">
        <f>G21</f>
        <v>1.7857142857142858</v>
      </c>
      <c r="P67" s="467">
        <f>O67*L67</f>
        <v>0</v>
      </c>
      <c r="Q67" s="467">
        <f>Q62</f>
        <v>0.37</v>
      </c>
      <c r="R67" s="467">
        <v>0.8333333333333334</v>
      </c>
      <c r="S67" s="468">
        <f>L67*Q67*R67</f>
        <v>0</v>
      </c>
      <c r="T67" s="601"/>
      <c r="U67" s="604">
        <f>S67</f>
        <v>0</v>
      </c>
      <c r="V67" s="602"/>
      <c r="W67" s="602"/>
      <c r="X67" s="604"/>
      <c r="Y67" s="602"/>
      <c r="Z67" s="603"/>
    </row>
    <row r="68" spans="1:26" ht="15.75">
      <c r="A68" s="393"/>
      <c r="B68" s="426"/>
      <c r="C68" s="390" t="s">
        <v>414</v>
      </c>
      <c r="D68" s="390"/>
      <c r="I68" s="425">
        <f>'CUARTEL GENERAL'!I30+'CUARTEL GENERAL'!I35+'CUARTEL GENERAL'!I43+'CUARTEL GENERAL'!I48+'CUARTEL GENERAL'!I60+'CUARTEL GENERAL'!I65+'CUARTEL GENERAL'!I76+'CUARTEL GENERAL'!I81</f>
        <v>0</v>
      </c>
      <c r="J68" s="408"/>
      <c r="K68" s="425">
        <v>1</v>
      </c>
      <c r="L68" s="425">
        <f>K68*(I68+J68)</f>
        <v>0</v>
      </c>
      <c r="M68" s="467">
        <f>M64</f>
        <v>0.8333333333333333</v>
      </c>
      <c r="N68" s="467">
        <f>L68*M68</f>
        <v>0</v>
      </c>
      <c r="O68" s="467">
        <f>G21</f>
        <v>1.7857142857142858</v>
      </c>
      <c r="P68" s="467">
        <f>O68*L68</f>
        <v>0</v>
      </c>
      <c r="Q68" s="467">
        <f>Q64</f>
        <v>3.25</v>
      </c>
      <c r="R68" s="467">
        <v>0.8333333333333334</v>
      </c>
      <c r="S68" s="468">
        <f>L68*Q68*R68</f>
        <v>0</v>
      </c>
      <c r="T68" s="604">
        <f>S68</f>
        <v>0</v>
      </c>
      <c r="U68" s="604"/>
      <c r="V68" s="602"/>
      <c r="W68" s="602"/>
      <c r="Y68" s="602"/>
      <c r="Z68" s="603"/>
    </row>
    <row r="69" spans="1:26" ht="15.75">
      <c r="A69" s="393"/>
      <c r="B69" s="426" t="s">
        <v>421</v>
      </c>
      <c r="C69" s="390"/>
      <c r="D69" s="390"/>
      <c r="I69" s="425"/>
      <c r="J69" s="408"/>
      <c r="K69" s="425"/>
      <c r="L69" s="425"/>
      <c r="M69" s="467"/>
      <c r="N69" s="467"/>
      <c r="O69" s="467"/>
      <c r="P69" s="467"/>
      <c r="Q69" s="467"/>
      <c r="R69" s="467"/>
      <c r="S69" s="468"/>
      <c r="T69" s="601"/>
      <c r="U69" s="604"/>
      <c r="V69" s="602"/>
      <c r="W69" s="602"/>
      <c r="X69" s="605"/>
      <c r="Y69" s="602"/>
      <c r="Z69" s="603"/>
    </row>
    <row r="70" spans="1:26" ht="15.75">
      <c r="A70" s="393"/>
      <c r="B70" s="426"/>
      <c r="C70" s="390" t="s">
        <v>122</v>
      </c>
      <c r="D70" s="390"/>
      <c r="I70" s="425"/>
      <c r="J70" s="408"/>
      <c r="K70" s="425">
        <v>2</v>
      </c>
      <c r="L70" s="425">
        <f>K70*(I70+J70)</f>
        <v>0</v>
      </c>
      <c r="M70" s="467">
        <f>C18</f>
        <v>1.6666666666666665</v>
      </c>
      <c r="N70" s="467">
        <f>L70*M70</f>
        <v>0</v>
      </c>
      <c r="O70" s="467">
        <f>G20</f>
        <v>2.142857142857143</v>
      </c>
      <c r="P70" s="467">
        <f>O70*L70</f>
        <v>0</v>
      </c>
      <c r="Q70" s="467">
        <f>K21</f>
        <v>0</v>
      </c>
      <c r="R70" s="467">
        <v>0.9444444444444444</v>
      </c>
      <c r="S70" s="468">
        <f>L70*Q70*R70</f>
        <v>0</v>
      </c>
      <c r="T70" s="601"/>
      <c r="U70" s="604"/>
      <c r="V70" s="602"/>
      <c r="W70" s="602"/>
      <c r="X70" s="605">
        <f>S70</f>
        <v>0</v>
      </c>
      <c r="Y70" s="602"/>
      <c r="Z70" s="603"/>
    </row>
    <row r="71" spans="1:26" ht="15.75">
      <c r="A71" s="393"/>
      <c r="B71" s="426"/>
      <c r="C71" s="390" t="s">
        <v>294</v>
      </c>
      <c r="D71" s="390"/>
      <c r="I71" s="425"/>
      <c r="J71" s="408">
        <f>'CUARTEL GENERAL'!E17</f>
        <v>0</v>
      </c>
      <c r="K71" s="425">
        <v>1</v>
      </c>
      <c r="L71" s="425">
        <f>K71*(I71+J71)</f>
        <v>0</v>
      </c>
      <c r="M71" s="467">
        <f>C16</f>
        <v>2.5</v>
      </c>
      <c r="N71" s="467">
        <f>L71*M71</f>
        <v>0</v>
      </c>
      <c r="O71" s="467">
        <f>G18</f>
        <v>2.8571428571428568</v>
      </c>
      <c r="P71" s="467">
        <f>O71*L71</f>
        <v>0</v>
      </c>
      <c r="Q71" s="467">
        <f>K18</f>
        <v>0.37</v>
      </c>
      <c r="R71" s="467">
        <v>0.5092592592592593</v>
      </c>
      <c r="S71" s="468">
        <f>L71*Q71*R71</f>
        <v>0</v>
      </c>
      <c r="T71" s="601"/>
      <c r="U71" s="604">
        <f>S71</f>
        <v>0</v>
      </c>
      <c r="V71" s="602"/>
      <c r="W71" s="602"/>
      <c r="X71" s="605"/>
      <c r="Y71" s="602"/>
      <c r="Z71" s="603"/>
    </row>
    <row r="72" spans="1:26" ht="15.75">
      <c r="A72" s="393"/>
      <c r="B72" s="426"/>
      <c r="C72" s="390" t="s">
        <v>422</v>
      </c>
      <c r="D72" s="390"/>
      <c r="I72" s="425"/>
      <c r="J72" s="408">
        <f>'CUARTEL GENERAL'!E18</f>
        <v>0</v>
      </c>
      <c r="K72" s="425">
        <v>4</v>
      </c>
      <c r="L72" s="425">
        <f>K72*(I72+J72)</f>
        <v>0</v>
      </c>
      <c r="M72" s="467">
        <f>C18</f>
        <v>1.6666666666666665</v>
      </c>
      <c r="N72" s="467">
        <f>L72*M72</f>
        <v>0</v>
      </c>
      <c r="O72" s="467">
        <f>G21</f>
        <v>1.7857142857142858</v>
      </c>
      <c r="P72" s="467">
        <f>O72*L72</f>
        <v>0</v>
      </c>
      <c r="Q72" s="467">
        <f>O19</f>
        <v>0.43</v>
      </c>
      <c r="R72" s="467">
        <v>0.9444444444444444</v>
      </c>
      <c r="S72" s="468">
        <f>L72*Q72*R72</f>
        <v>0</v>
      </c>
      <c r="T72" s="601"/>
      <c r="U72" s="604">
        <f>S72*1/6</f>
        <v>0</v>
      </c>
      <c r="V72" s="602"/>
      <c r="W72" s="605">
        <f>S72*5/6</f>
        <v>0</v>
      </c>
      <c r="X72" s="605"/>
      <c r="Y72" s="602"/>
      <c r="Z72" s="603"/>
    </row>
    <row r="73" spans="1:26" ht="15.75">
      <c r="A73" s="393">
        <v>2</v>
      </c>
      <c r="B73" s="424" t="s">
        <v>420</v>
      </c>
      <c r="C73" s="390"/>
      <c r="D73" s="390"/>
      <c r="I73" s="425"/>
      <c r="J73" s="408"/>
      <c r="K73" s="425"/>
      <c r="L73" s="425"/>
      <c r="M73" s="467"/>
      <c r="N73" s="467"/>
      <c r="O73" s="467"/>
      <c r="P73" s="467"/>
      <c r="Q73" s="467"/>
      <c r="R73" s="467"/>
      <c r="S73" s="468"/>
      <c r="T73" s="601"/>
      <c r="U73" s="602"/>
      <c r="V73" s="602"/>
      <c r="W73" s="602"/>
      <c r="X73" s="602"/>
      <c r="Y73" s="602"/>
      <c r="Z73" s="603"/>
    </row>
    <row r="74" spans="1:26" ht="15.75">
      <c r="A74" s="393"/>
      <c r="B74" s="424"/>
      <c r="C74" s="390" t="s">
        <v>274</v>
      </c>
      <c r="D74" s="390"/>
      <c r="I74" s="425">
        <f>'CUARTEL GENERAL'!H94+'CUARTEL GENERAL'!H96+'CUARTEL GENERAL'!H100</f>
        <v>0</v>
      </c>
      <c r="J74" s="408"/>
      <c r="K74" s="425">
        <v>1</v>
      </c>
      <c r="L74" s="425">
        <f>K74*(I74+J74)</f>
        <v>0</v>
      </c>
      <c r="M74" s="425">
        <f>M66</f>
        <v>0.8333333333333333</v>
      </c>
      <c r="N74" s="467">
        <f>L74*M74</f>
        <v>0</v>
      </c>
      <c r="O74" s="468">
        <f>G23</f>
        <v>1.0714285714285714</v>
      </c>
      <c r="P74" s="467">
        <f>O74*L74</f>
        <v>0</v>
      </c>
      <c r="Q74" s="425">
        <f>Q66</f>
        <v>0.37</v>
      </c>
      <c r="R74" s="468">
        <v>0.6666666666666666</v>
      </c>
      <c r="S74" s="468">
        <f>L74*Q74*R74</f>
        <v>0</v>
      </c>
      <c r="T74" s="601"/>
      <c r="U74" s="604">
        <f>S74</f>
        <v>0</v>
      </c>
      <c r="V74" s="602"/>
      <c r="W74" s="602"/>
      <c r="X74" s="604"/>
      <c r="Y74" s="602"/>
      <c r="Z74" s="603"/>
    </row>
    <row r="75" spans="1:26" ht="15.75">
      <c r="A75" s="393"/>
      <c r="B75" s="424"/>
      <c r="C75" s="390" t="s">
        <v>426</v>
      </c>
      <c r="D75" s="390"/>
      <c r="I75" s="425">
        <f>'CUARTEL GENERAL'!H99+'CUARTEL GENERAL'!H102+'CUARTEL GENERAL'!H105</f>
        <v>0</v>
      </c>
      <c r="J75" s="408"/>
      <c r="K75" s="425">
        <v>1.5</v>
      </c>
      <c r="L75" s="425">
        <f>K75*(I75+J75)</f>
        <v>0</v>
      </c>
      <c r="M75" s="425">
        <f>M67</f>
        <v>1.25</v>
      </c>
      <c r="N75" s="467">
        <f>L75*M75</f>
        <v>0</v>
      </c>
      <c r="O75" s="468">
        <f>G22</f>
        <v>1.4285714285714284</v>
      </c>
      <c r="P75" s="467">
        <f>O75*L75</f>
        <v>0</v>
      </c>
      <c r="Q75" s="425">
        <f>Q67</f>
        <v>0.37</v>
      </c>
      <c r="R75" s="468">
        <v>0.6666666666666666</v>
      </c>
      <c r="S75" s="468">
        <f>L75*Q75*R75</f>
        <v>0</v>
      </c>
      <c r="T75" s="601"/>
      <c r="U75" s="604">
        <f>S75</f>
        <v>0</v>
      </c>
      <c r="V75" s="602"/>
      <c r="W75" s="602"/>
      <c r="X75" s="604"/>
      <c r="Y75" s="602"/>
      <c r="Z75" s="603"/>
    </row>
    <row r="76" spans="1:26" ht="16.5" thickBot="1">
      <c r="A76" s="393"/>
      <c r="B76" s="424"/>
      <c r="C76" s="390" t="s">
        <v>427</v>
      </c>
      <c r="D76" s="390"/>
      <c r="I76" s="425">
        <f>'CUARTEL GENERAL'!H98+'CUARTEL GENERAL'!H101+'CUARTEL GENERAL'!H104</f>
        <v>0</v>
      </c>
      <c r="J76" s="408"/>
      <c r="K76" s="425">
        <v>1</v>
      </c>
      <c r="L76" s="425">
        <f>K76*(I76+J76)</f>
        <v>0</v>
      </c>
      <c r="M76" s="425">
        <f>M68</f>
        <v>0.8333333333333333</v>
      </c>
      <c r="N76" s="467">
        <f>L76*M76</f>
        <v>0</v>
      </c>
      <c r="O76" s="468">
        <f>G23</f>
        <v>1.0714285714285714</v>
      </c>
      <c r="P76" s="467">
        <f>O76*L76</f>
        <v>0</v>
      </c>
      <c r="Q76" s="425">
        <f>Q68</f>
        <v>3.25</v>
      </c>
      <c r="R76" s="468">
        <v>0.6666666666666666</v>
      </c>
      <c r="S76" s="468">
        <f>L76*Q76*R76</f>
        <v>0</v>
      </c>
      <c r="T76" s="604">
        <f>S76</f>
        <v>0</v>
      </c>
      <c r="U76" s="604"/>
      <c r="V76" s="602"/>
      <c r="W76" s="602"/>
      <c r="Y76" s="602"/>
      <c r="Z76" s="603"/>
    </row>
    <row r="77" spans="1:26" ht="13.5" thickBot="1">
      <c r="A77" s="389"/>
      <c r="B77" s="388" t="s">
        <v>13</v>
      </c>
      <c r="C77" s="398"/>
      <c r="D77" s="398"/>
      <c r="E77" s="398"/>
      <c r="F77" s="398"/>
      <c r="G77" s="398"/>
      <c r="H77" s="428"/>
      <c r="I77" s="381">
        <f>SUM(I78:I88)</f>
        <v>0</v>
      </c>
      <c r="J77" s="381">
        <f>SUM(J78:J88)</f>
        <v>0</v>
      </c>
      <c r="K77" s="381"/>
      <c r="L77" s="381">
        <f>SUM(L78:L88)</f>
        <v>0</v>
      </c>
      <c r="M77" s="436">
        <f>SUM(M78:M88)</f>
        <v>22.08333333333333</v>
      </c>
      <c r="N77" s="436">
        <f>SUM(N78:N88)</f>
        <v>0</v>
      </c>
      <c r="O77" s="436">
        <f>SUM(O78:O88)</f>
        <v>6.785714285714286</v>
      </c>
      <c r="P77" s="436">
        <f>SUM(P78:P88)</f>
        <v>0</v>
      </c>
      <c r="Q77" s="436"/>
      <c r="R77" s="436"/>
      <c r="S77" s="503">
        <f>SUM(S78:S88)</f>
        <v>0</v>
      </c>
      <c r="T77" s="601"/>
      <c r="U77" s="602"/>
      <c r="V77" s="602"/>
      <c r="W77" s="602"/>
      <c r="X77" s="602"/>
      <c r="Y77" s="602"/>
      <c r="Z77" s="603"/>
    </row>
    <row r="78" spans="1:26" ht="15.75">
      <c r="A78" s="393">
        <v>1</v>
      </c>
      <c r="B78" s="424" t="s">
        <v>425</v>
      </c>
      <c r="C78" s="390"/>
      <c r="D78" s="390"/>
      <c r="I78" s="425"/>
      <c r="J78" s="408"/>
      <c r="K78" s="425"/>
      <c r="L78" s="425"/>
      <c r="M78" s="467"/>
      <c r="N78" s="467"/>
      <c r="O78" s="467"/>
      <c r="P78" s="467"/>
      <c r="Q78" s="467"/>
      <c r="R78" s="467"/>
      <c r="S78" s="507"/>
      <c r="T78" s="607"/>
      <c r="U78" s="602"/>
      <c r="V78" s="602"/>
      <c r="W78" s="602"/>
      <c r="X78" s="602"/>
      <c r="Y78" s="602"/>
      <c r="Z78" s="603"/>
    </row>
    <row r="79" spans="1:26" ht="15.75">
      <c r="A79" s="393"/>
      <c r="B79" s="424"/>
      <c r="C79" s="390" t="s">
        <v>274</v>
      </c>
      <c r="D79" s="390"/>
      <c r="I79" s="425">
        <f>LINEA!H7</f>
        <v>0</v>
      </c>
      <c r="J79" s="408"/>
      <c r="K79" s="425">
        <v>1</v>
      </c>
      <c r="L79" s="425">
        <f aca="true" t="shared" si="0" ref="L79:L85">K79*(I79+J79)</f>
        <v>0</v>
      </c>
      <c r="M79" s="425">
        <f>M61</f>
        <v>0.8333333333333333</v>
      </c>
      <c r="N79" s="467">
        <f aca="true" t="shared" si="1" ref="N79:N85">L79*M79</f>
        <v>0</v>
      </c>
      <c r="O79" s="425">
        <f>O61</f>
        <v>1.0714285714285714</v>
      </c>
      <c r="P79" s="467">
        <f aca="true" t="shared" si="2" ref="P79:P85">O79*L79</f>
        <v>0</v>
      </c>
      <c r="Q79" s="425">
        <f>Q61</f>
        <v>0.37</v>
      </c>
      <c r="R79" s="468">
        <v>0.6666666666666666</v>
      </c>
      <c r="S79" s="467">
        <f aca="true" t="shared" si="3" ref="S79:S85">L79*Q79*R79</f>
        <v>0</v>
      </c>
      <c r="T79" s="607"/>
      <c r="U79" s="604">
        <f>S79</f>
        <v>0</v>
      </c>
      <c r="V79" s="602"/>
      <c r="W79" s="602"/>
      <c r="X79" s="604"/>
      <c r="Y79" s="602"/>
      <c r="Z79" s="603"/>
    </row>
    <row r="80" spans="1:26" ht="15.75">
      <c r="A80" s="393"/>
      <c r="B80" s="424"/>
      <c r="C80" s="390" t="s">
        <v>426</v>
      </c>
      <c r="D80" s="390"/>
      <c r="I80" s="425">
        <f>LINEA!H10</f>
        <v>0</v>
      </c>
      <c r="J80" s="408"/>
      <c r="K80" s="425">
        <v>1.5</v>
      </c>
      <c r="L80" s="425">
        <f t="shared" si="0"/>
        <v>0</v>
      </c>
      <c r="M80" s="425">
        <f>M62</f>
        <v>1.25</v>
      </c>
      <c r="N80" s="467">
        <f t="shared" si="1"/>
        <v>0</v>
      </c>
      <c r="O80" s="425">
        <f>O62</f>
        <v>1.4285714285714284</v>
      </c>
      <c r="P80" s="467">
        <f t="shared" si="2"/>
        <v>0</v>
      </c>
      <c r="Q80" s="425">
        <f>Q62</f>
        <v>0.37</v>
      </c>
      <c r="R80" s="468">
        <v>0.6666666666666666</v>
      </c>
      <c r="S80" s="467">
        <f t="shared" si="3"/>
        <v>0</v>
      </c>
      <c r="T80" s="607"/>
      <c r="U80" s="604">
        <f>S80</f>
        <v>0</v>
      </c>
      <c r="V80" s="602"/>
      <c r="W80" s="602"/>
      <c r="X80" s="604"/>
      <c r="Y80" s="602"/>
      <c r="Z80" s="603"/>
    </row>
    <row r="81" spans="1:26" ht="15.75">
      <c r="A81" s="393"/>
      <c r="B81" s="424"/>
      <c r="C81" s="390" t="s">
        <v>427</v>
      </c>
      <c r="D81" s="390"/>
      <c r="I81" s="425">
        <f>LINEA!H9</f>
        <v>0</v>
      </c>
      <c r="J81" s="408"/>
      <c r="K81" s="425">
        <v>1</v>
      </c>
      <c r="L81" s="425">
        <f t="shared" si="0"/>
        <v>0</v>
      </c>
      <c r="M81" s="425">
        <f>M64</f>
        <v>0.8333333333333333</v>
      </c>
      <c r="N81" s="467">
        <f t="shared" si="1"/>
        <v>0</v>
      </c>
      <c r="O81" s="425">
        <f>O64</f>
        <v>1.0714285714285714</v>
      </c>
      <c r="P81" s="467">
        <f t="shared" si="2"/>
        <v>0</v>
      </c>
      <c r="Q81" s="425">
        <f>Q64</f>
        <v>3.25</v>
      </c>
      <c r="R81" s="468">
        <v>0.6666666666666666</v>
      </c>
      <c r="S81" s="467">
        <f t="shared" si="3"/>
        <v>0</v>
      </c>
      <c r="T81" s="608">
        <f>S81</f>
        <v>0</v>
      </c>
      <c r="U81" s="604"/>
      <c r="V81" s="602"/>
      <c r="W81" s="602"/>
      <c r="Y81" s="602"/>
      <c r="Z81" s="603"/>
    </row>
    <row r="82" spans="1:26" ht="12.75">
      <c r="A82" s="393"/>
      <c r="B82" s="390"/>
      <c r="C82" s="390" t="s">
        <v>429</v>
      </c>
      <c r="D82" s="390"/>
      <c r="I82" s="425">
        <f>LINEA!H12</f>
        <v>0</v>
      </c>
      <c r="J82" s="408"/>
      <c r="K82" s="425">
        <v>1</v>
      </c>
      <c r="L82" s="425">
        <f t="shared" si="0"/>
        <v>0</v>
      </c>
      <c r="M82" s="467">
        <f>C18</f>
        <v>1.6666666666666665</v>
      </c>
      <c r="N82" s="467">
        <f t="shared" si="1"/>
        <v>0</v>
      </c>
      <c r="O82" s="467">
        <f>$G$27</f>
        <v>0</v>
      </c>
      <c r="P82" s="467">
        <f t="shared" si="2"/>
        <v>0</v>
      </c>
      <c r="Q82" s="467">
        <f>O46</f>
        <v>3.25</v>
      </c>
      <c r="R82" s="467">
        <v>0.6666666666666666</v>
      </c>
      <c r="S82" s="467">
        <f t="shared" si="3"/>
        <v>0</v>
      </c>
      <c r="T82" s="608">
        <f>S82</f>
        <v>0</v>
      </c>
      <c r="U82" s="604"/>
      <c r="V82" s="602"/>
      <c r="W82" s="602"/>
      <c r="X82" s="602"/>
      <c r="Y82" s="602"/>
      <c r="Z82" s="603"/>
    </row>
    <row r="83" spans="1:26" ht="12.75">
      <c r="A83" s="393"/>
      <c r="B83" s="390"/>
      <c r="C83" s="390" t="s">
        <v>428</v>
      </c>
      <c r="D83" s="390"/>
      <c r="I83" s="425">
        <f>LINEA!H13</f>
        <v>0</v>
      </c>
      <c r="J83" s="408"/>
      <c r="K83" s="425">
        <v>1</v>
      </c>
      <c r="L83" s="425">
        <f t="shared" si="0"/>
        <v>0</v>
      </c>
      <c r="M83" s="467">
        <f>C16</f>
        <v>2.5</v>
      </c>
      <c r="N83" s="467">
        <f t="shared" si="1"/>
        <v>0</v>
      </c>
      <c r="O83" s="467">
        <f>$G$27</f>
        <v>0</v>
      </c>
      <c r="P83" s="467">
        <f t="shared" si="2"/>
        <v>0</v>
      </c>
      <c r="Q83" s="467">
        <f>K18</f>
        <v>0.37</v>
      </c>
      <c r="R83" s="467">
        <v>0.43209876543209874</v>
      </c>
      <c r="S83" s="467">
        <f t="shared" si="3"/>
        <v>0</v>
      </c>
      <c r="T83" s="607"/>
      <c r="U83" s="609">
        <f>S83</f>
        <v>0</v>
      </c>
      <c r="V83" s="602"/>
      <c r="W83" s="602"/>
      <c r="X83" s="580"/>
      <c r="Y83" s="602"/>
      <c r="Z83" s="603"/>
    </row>
    <row r="84" spans="1:26" ht="12.75">
      <c r="A84" s="393"/>
      <c r="B84" s="390"/>
      <c r="C84" s="390" t="s">
        <v>299</v>
      </c>
      <c r="D84" s="390"/>
      <c r="I84" s="425">
        <f>LINEA!H14</f>
        <v>0</v>
      </c>
      <c r="J84" s="408"/>
      <c r="K84" s="425">
        <v>1</v>
      </c>
      <c r="L84" s="425">
        <f t="shared" si="0"/>
        <v>0</v>
      </c>
      <c r="M84" s="467">
        <f>C15</f>
        <v>3.333333333333333</v>
      </c>
      <c r="N84" s="467">
        <f t="shared" si="1"/>
        <v>0</v>
      </c>
      <c r="O84" s="467">
        <f>$G$27</f>
        <v>0</v>
      </c>
      <c r="P84" s="467">
        <f t="shared" si="2"/>
        <v>0</v>
      </c>
      <c r="Q84" s="467">
        <f>K17</f>
        <v>0.83</v>
      </c>
      <c r="R84" s="467">
        <f>R85</f>
        <v>0.6666666666666666</v>
      </c>
      <c r="S84" s="467">
        <f t="shared" si="3"/>
        <v>0</v>
      </c>
      <c r="T84" s="607"/>
      <c r="U84" s="602"/>
      <c r="V84" s="609">
        <f>S84</f>
        <v>0</v>
      </c>
      <c r="W84" s="602"/>
      <c r="X84" s="580"/>
      <c r="Z84" s="603"/>
    </row>
    <row r="85" spans="1:26" ht="12.75">
      <c r="A85" s="393"/>
      <c r="B85" s="390"/>
      <c r="C85" s="390" t="s">
        <v>112</v>
      </c>
      <c r="D85" s="390"/>
      <c r="I85" s="425">
        <f>LINEA!H15</f>
        <v>0</v>
      </c>
      <c r="J85" s="408"/>
      <c r="K85" s="425">
        <v>1</v>
      </c>
      <c r="L85" s="425">
        <f t="shared" si="0"/>
        <v>0</v>
      </c>
      <c r="M85" s="467">
        <f>C15</f>
        <v>3.333333333333333</v>
      </c>
      <c r="N85" s="467">
        <f t="shared" si="1"/>
        <v>0</v>
      </c>
      <c r="O85" s="467">
        <f>$G$27</f>
        <v>0</v>
      </c>
      <c r="P85" s="467">
        <f t="shared" si="2"/>
        <v>0</v>
      </c>
      <c r="Q85" s="467">
        <f>K16</f>
        <v>1.39</v>
      </c>
      <c r="R85" s="467">
        <v>0.6666666666666666</v>
      </c>
      <c r="S85" s="467">
        <f t="shared" si="3"/>
        <v>0</v>
      </c>
      <c r="T85" s="607"/>
      <c r="U85" s="609">
        <f>S85</f>
        <v>0</v>
      </c>
      <c r="V85" s="602"/>
      <c r="W85" s="602"/>
      <c r="X85" s="580"/>
      <c r="Y85" s="602"/>
      <c r="Z85" s="603"/>
    </row>
    <row r="86" spans="1:26" ht="15.75">
      <c r="A86" s="393">
        <v>2</v>
      </c>
      <c r="B86" s="424" t="s">
        <v>430</v>
      </c>
      <c r="C86" s="390"/>
      <c r="D86" s="390"/>
      <c r="I86" s="425"/>
      <c r="J86" s="408"/>
      <c r="K86" s="425"/>
      <c r="L86" s="425"/>
      <c r="M86" s="467"/>
      <c r="N86" s="467"/>
      <c r="O86" s="467"/>
      <c r="P86" s="467"/>
      <c r="Q86" s="467"/>
      <c r="R86" s="467"/>
      <c r="S86" s="467"/>
      <c r="T86" s="607"/>
      <c r="U86" s="602"/>
      <c r="V86" s="602"/>
      <c r="W86" s="602"/>
      <c r="X86" s="609"/>
      <c r="Y86" s="602"/>
      <c r="Z86" s="603"/>
    </row>
    <row r="87" spans="1:26" ht="15.75">
      <c r="A87" s="393"/>
      <c r="B87" s="424"/>
      <c r="C87" s="390" t="s">
        <v>316</v>
      </c>
      <c r="D87" s="390"/>
      <c r="I87" s="425"/>
      <c r="J87" s="408">
        <f>'A.PESADO'!H19+'A.PESADO'!H24+'A.PESADO'!H34+LINEA!H22+LINEA!H27</f>
        <v>0</v>
      </c>
      <c r="K87" s="425">
        <v>1</v>
      </c>
      <c r="L87" s="425">
        <f>K87*(I87+J87)</f>
        <v>0</v>
      </c>
      <c r="M87" s="467">
        <f>C13</f>
        <v>5</v>
      </c>
      <c r="N87" s="467">
        <f>L87*M87</f>
        <v>0</v>
      </c>
      <c r="O87" s="467">
        <v>0</v>
      </c>
      <c r="P87" s="516">
        <f>O87*L87</f>
        <v>0</v>
      </c>
      <c r="Q87" s="467">
        <f>K17</f>
        <v>0.83</v>
      </c>
      <c r="R87" s="467">
        <v>0.6666666666666666</v>
      </c>
      <c r="S87" s="467">
        <f>L87*Q87*R87</f>
        <v>0</v>
      </c>
      <c r="T87" s="607"/>
      <c r="U87" s="602"/>
      <c r="V87" s="604">
        <f>S87</f>
        <v>0</v>
      </c>
      <c r="W87" s="602"/>
      <c r="X87" s="609"/>
      <c r="Y87" s="602"/>
      <c r="Z87" s="603"/>
    </row>
    <row r="88" spans="1:26" ht="16.5" thickBot="1">
      <c r="A88" s="393"/>
      <c r="B88" s="424"/>
      <c r="C88" s="390" t="s">
        <v>298</v>
      </c>
      <c r="D88" s="390"/>
      <c r="I88" s="425"/>
      <c r="J88" s="425">
        <f>LINEA!H21</f>
        <v>0</v>
      </c>
      <c r="K88" s="425">
        <v>1</v>
      </c>
      <c r="L88" s="425">
        <f>K88*(I88+J88)</f>
        <v>0</v>
      </c>
      <c r="M88" s="467">
        <f>C15</f>
        <v>3.333333333333333</v>
      </c>
      <c r="N88" s="467">
        <f>L88*M88</f>
        <v>0</v>
      </c>
      <c r="O88" s="467">
        <f>G17</f>
        <v>3.2142857142857144</v>
      </c>
      <c r="P88" s="467">
        <f>O88*L88</f>
        <v>0</v>
      </c>
      <c r="Q88" s="467">
        <f>K16</f>
        <v>1.39</v>
      </c>
      <c r="R88" s="467">
        <v>0.8888888888888888</v>
      </c>
      <c r="S88" s="467">
        <f>L88*Q88*R88</f>
        <v>0</v>
      </c>
      <c r="T88" s="607"/>
      <c r="U88" s="604">
        <f>S88</f>
        <v>0</v>
      </c>
      <c r="V88" s="602"/>
      <c r="W88" s="602"/>
      <c r="X88" s="609"/>
      <c r="Y88" s="602"/>
      <c r="Z88" s="603"/>
    </row>
    <row r="89" spans="1:26" ht="13.5" thickBot="1">
      <c r="A89" s="389"/>
      <c r="B89" s="388" t="s">
        <v>14</v>
      </c>
      <c r="C89" s="398"/>
      <c r="D89" s="398"/>
      <c r="E89" s="398"/>
      <c r="F89" s="398"/>
      <c r="G89" s="398"/>
      <c r="H89" s="428"/>
      <c r="I89" s="381">
        <f>SUM(I90:I114)</f>
        <v>0</v>
      </c>
      <c r="J89" s="381">
        <f>SUM(J90:J114)</f>
        <v>0</v>
      </c>
      <c r="K89" s="381"/>
      <c r="L89" s="381">
        <f>SUM(L90:L114)</f>
        <v>0</v>
      </c>
      <c r="M89" s="436">
        <f>SUM(M90:M114)</f>
        <v>42.08333333333333</v>
      </c>
      <c r="N89" s="436">
        <f>SUM(N90:N114)</f>
        <v>0</v>
      </c>
      <c r="O89" s="436">
        <f>SUM(O90:O114)</f>
        <v>23.000000000000007</v>
      </c>
      <c r="P89" s="436">
        <f>SUM(P90:P114)</f>
        <v>0</v>
      </c>
      <c r="Q89" s="436"/>
      <c r="R89" s="436"/>
      <c r="S89" s="503">
        <f>SUM(S90:S114)</f>
        <v>0</v>
      </c>
      <c r="T89" s="601"/>
      <c r="U89" s="602"/>
      <c r="V89" s="602"/>
      <c r="W89" s="602"/>
      <c r="X89" s="609"/>
      <c r="Y89" s="602"/>
      <c r="Z89" s="603"/>
    </row>
    <row r="90" spans="1:26" ht="15.75">
      <c r="A90" s="393">
        <v>1</v>
      </c>
      <c r="B90" s="424" t="s">
        <v>433</v>
      </c>
      <c r="C90" s="390"/>
      <c r="D90" s="390"/>
      <c r="I90" s="425"/>
      <c r="J90" s="408"/>
      <c r="K90" s="425"/>
      <c r="L90" s="425">
        <f aca="true" t="shared" si="4" ref="L90:L102">K90*(I90+J90)</f>
        <v>0</v>
      </c>
      <c r="M90" s="467"/>
      <c r="N90" s="467"/>
      <c r="O90" s="467"/>
      <c r="P90" s="467"/>
      <c r="Q90" s="467"/>
      <c r="R90" s="467"/>
      <c r="S90" s="468"/>
      <c r="T90" s="601"/>
      <c r="U90" s="602"/>
      <c r="V90" s="602"/>
      <c r="W90" s="602"/>
      <c r="X90" s="609"/>
      <c r="Y90" s="602"/>
      <c r="Z90" s="603"/>
    </row>
    <row r="91" spans="1:26" ht="12.75">
      <c r="A91" s="393"/>
      <c r="B91" s="390"/>
      <c r="C91" s="590" t="s">
        <v>293</v>
      </c>
      <c r="D91" s="390"/>
      <c r="I91" s="425">
        <f>ELITE!H6</f>
        <v>0</v>
      </c>
      <c r="J91" s="425">
        <f>ELITE!H12</f>
        <v>0</v>
      </c>
      <c r="K91" s="425">
        <v>4</v>
      </c>
      <c r="L91" s="425">
        <f t="shared" si="4"/>
        <v>0</v>
      </c>
      <c r="M91" s="468">
        <f>C18</f>
        <v>1.6666666666666665</v>
      </c>
      <c r="N91" s="468">
        <f aca="true" t="shared" si="5" ref="N91:N102">L91*M91</f>
        <v>0</v>
      </c>
      <c r="O91" s="468">
        <f>G21</f>
        <v>1.7857142857142858</v>
      </c>
      <c r="P91" s="467">
        <f aca="true" t="shared" si="6" ref="P91:P102">L91*O91</f>
        <v>0</v>
      </c>
      <c r="Q91" s="468">
        <f>Q72</f>
        <v>0.43</v>
      </c>
      <c r="R91" s="468">
        <v>0.6666666666666666</v>
      </c>
      <c r="S91" s="468">
        <f aca="true" t="shared" si="7" ref="S91:S102">L91*Q91*R91</f>
        <v>0</v>
      </c>
      <c r="T91" s="601"/>
      <c r="U91" s="609">
        <f>S91*1/6</f>
        <v>0</v>
      </c>
      <c r="V91" s="602"/>
      <c r="W91" s="602">
        <f>S91*5/6</f>
        <v>0</v>
      </c>
      <c r="X91" s="580"/>
      <c r="Y91" s="602"/>
      <c r="Z91" s="603"/>
    </row>
    <row r="92" spans="1:26" ht="12.75">
      <c r="A92" s="393"/>
      <c r="B92" s="390"/>
      <c r="C92" s="590" t="s">
        <v>294</v>
      </c>
      <c r="D92" s="390"/>
      <c r="I92" s="425"/>
      <c r="J92" s="408">
        <f>ELITE!H13</f>
        <v>0</v>
      </c>
      <c r="K92" s="425">
        <v>1</v>
      </c>
      <c r="L92" s="425">
        <f t="shared" si="4"/>
        <v>0</v>
      </c>
      <c r="M92" s="467">
        <f>C16</f>
        <v>2.5</v>
      </c>
      <c r="N92" s="468">
        <f t="shared" si="5"/>
        <v>0</v>
      </c>
      <c r="O92" s="467">
        <f>G19</f>
        <v>2.5</v>
      </c>
      <c r="P92" s="467">
        <f t="shared" si="6"/>
        <v>0</v>
      </c>
      <c r="Q92" s="467">
        <f>Q83</f>
        <v>0.37</v>
      </c>
      <c r="R92" s="467">
        <v>0.5185185185185185</v>
      </c>
      <c r="S92" s="468">
        <f t="shared" si="7"/>
        <v>0</v>
      </c>
      <c r="T92" s="601"/>
      <c r="U92" s="609">
        <f>S92</f>
        <v>0</v>
      </c>
      <c r="V92" s="602"/>
      <c r="X92" s="580"/>
      <c r="Y92" s="602"/>
      <c r="Z92" s="603"/>
    </row>
    <row r="93" spans="1:26" ht="12.75">
      <c r="A93" s="393"/>
      <c r="B93" s="390"/>
      <c r="C93" s="590" t="s">
        <v>295</v>
      </c>
      <c r="D93" s="390"/>
      <c r="I93" s="425"/>
      <c r="J93" s="408">
        <f>ELITE!H14</f>
        <v>0</v>
      </c>
      <c r="K93" s="425">
        <v>1</v>
      </c>
      <c r="L93" s="425">
        <f t="shared" si="4"/>
        <v>0</v>
      </c>
      <c r="M93" s="467">
        <f>C18</f>
        <v>1.6666666666666665</v>
      </c>
      <c r="N93" s="468">
        <f t="shared" si="5"/>
        <v>0</v>
      </c>
      <c r="O93" s="467">
        <f>G21</f>
        <v>1.7857142857142858</v>
      </c>
      <c r="P93" s="467">
        <f t="shared" si="6"/>
        <v>0</v>
      </c>
      <c r="Q93" s="467">
        <f>Q82</f>
        <v>3.25</v>
      </c>
      <c r="R93" s="467">
        <v>0.6666666666666666</v>
      </c>
      <c r="S93" s="468">
        <f t="shared" si="7"/>
        <v>0</v>
      </c>
      <c r="T93" s="610">
        <f>S93</f>
        <v>0</v>
      </c>
      <c r="U93" s="602"/>
      <c r="V93" s="602"/>
      <c r="W93" s="609"/>
      <c r="X93" s="580"/>
      <c r="Y93" s="602"/>
      <c r="Z93" s="603"/>
    </row>
    <row r="94" spans="1:26" ht="12.75">
      <c r="A94" s="393"/>
      <c r="B94" s="390"/>
      <c r="C94" s="590" t="s">
        <v>297</v>
      </c>
      <c r="D94" s="390"/>
      <c r="I94" s="425"/>
      <c r="J94" s="408">
        <f>ELITE!H16</f>
        <v>0</v>
      </c>
      <c r="K94" s="425">
        <v>2</v>
      </c>
      <c r="L94" s="425">
        <f t="shared" si="4"/>
        <v>0</v>
      </c>
      <c r="M94" s="467">
        <f>C15</f>
        <v>3.333333333333333</v>
      </c>
      <c r="N94" s="468">
        <f t="shared" si="5"/>
        <v>0</v>
      </c>
      <c r="O94" s="467">
        <f>G17</f>
        <v>3.2142857142857144</v>
      </c>
      <c r="P94" s="467">
        <f t="shared" si="6"/>
        <v>0</v>
      </c>
      <c r="Q94" s="467">
        <f>K18</f>
        <v>0.37</v>
      </c>
      <c r="R94" s="467">
        <v>0.8888888888888888</v>
      </c>
      <c r="S94" s="468">
        <f t="shared" si="7"/>
        <v>0</v>
      </c>
      <c r="T94" s="601"/>
      <c r="U94" s="602"/>
      <c r="V94" s="602"/>
      <c r="W94" s="609">
        <f>S94</f>
        <v>0</v>
      </c>
      <c r="X94" s="580"/>
      <c r="Y94" s="602"/>
      <c r="Z94" s="603"/>
    </row>
    <row r="95" spans="1:26" ht="12.75">
      <c r="A95" s="393"/>
      <c r="B95" s="390"/>
      <c r="C95" s="590" t="s">
        <v>298</v>
      </c>
      <c r="D95" s="390"/>
      <c r="I95" s="425"/>
      <c r="J95" s="408">
        <f>ELITE!H17</f>
        <v>0</v>
      </c>
      <c r="K95" s="425">
        <v>1</v>
      </c>
      <c r="L95" s="425">
        <f t="shared" si="4"/>
        <v>0</v>
      </c>
      <c r="M95" s="467">
        <f>C15</f>
        <v>3.333333333333333</v>
      </c>
      <c r="N95" s="468">
        <f t="shared" si="5"/>
        <v>0</v>
      </c>
      <c r="O95" s="467">
        <f>G17</f>
        <v>3.2142857142857144</v>
      </c>
      <c r="P95" s="467">
        <f t="shared" si="6"/>
        <v>0</v>
      </c>
      <c r="Q95" s="467">
        <f>Q88</f>
        <v>1.39</v>
      </c>
      <c r="R95" s="467">
        <v>0.8888888888888888</v>
      </c>
      <c r="S95" s="468">
        <f t="shared" si="7"/>
        <v>0</v>
      </c>
      <c r="T95" s="601"/>
      <c r="U95" s="604">
        <f>S95</f>
        <v>0</v>
      </c>
      <c r="V95" s="602"/>
      <c r="W95" s="609"/>
      <c r="X95" s="580"/>
      <c r="Y95" s="602"/>
      <c r="Z95" s="603"/>
    </row>
    <row r="96" spans="1:26" ht="12.75">
      <c r="A96" s="393"/>
      <c r="B96" s="390"/>
      <c r="C96" s="590" t="s">
        <v>299</v>
      </c>
      <c r="D96" s="390"/>
      <c r="I96" s="425">
        <f>ELITE!H9+ELITE!H8</f>
        <v>0</v>
      </c>
      <c r="J96" s="408">
        <f>ELITE!H18</f>
        <v>0</v>
      </c>
      <c r="K96" s="425">
        <v>1</v>
      </c>
      <c r="L96" s="425">
        <f t="shared" si="4"/>
        <v>0</v>
      </c>
      <c r="M96" s="467">
        <f>C15</f>
        <v>3.333333333333333</v>
      </c>
      <c r="N96" s="468">
        <f t="shared" si="5"/>
        <v>0</v>
      </c>
      <c r="O96" s="467">
        <f>G17</f>
        <v>3.2142857142857144</v>
      </c>
      <c r="P96" s="467">
        <f t="shared" si="6"/>
        <v>0</v>
      </c>
      <c r="Q96" s="467">
        <f>Q87</f>
        <v>0.83</v>
      </c>
      <c r="R96" s="467">
        <f>R91</f>
        <v>0.6666666666666666</v>
      </c>
      <c r="S96" s="468">
        <f t="shared" si="7"/>
        <v>0</v>
      </c>
      <c r="T96" s="601"/>
      <c r="U96" s="602"/>
      <c r="V96" s="604">
        <f>S96</f>
        <v>0</v>
      </c>
      <c r="W96" s="609"/>
      <c r="X96" s="580"/>
      <c r="Z96" s="603"/>
    </row>
    <row r="97" spans="1:26" ht="12.75">
      <c r="A97" s="393"/>
      <c r="B97" s="390"/>
      <c r="C97" s="590" t="s">
        <v>290</v>
      </c>
      <c r="D97" s="390"/>
      <c r="I97" s="425">
        <f>ELITE!H7</f>
        <v>0</v>
      </c>
      <c r="J97" s="408">
        <f>ELITE!H19</f>
        <v>0</v>
      </c>
      <c r="K97" s="425">
        <v>1</v>
      </c>
      <c r="L97" s="425">
        <f t="shared" si="4"/>
        <v>0</v>
      </c>
      <c r="M97" s="467" t="str">
        <f>C21</f>
        <v>0.5</v>
      </c>
      <c r="N97" s="468">
        <f t="shared" si="5"/>
        <v>0</v>
      </c>
      <c r="O97" s="467">
        <f>G26</f>
        <v>0.5</v>
      </c>
      <c r="P97" s="467">
        <f t="shared" si="6"/>
        <v>0</v>
      </c>
      <c r="Q97" s="467">
        <f>K20</f>
        <v>0</v>
      </c>
      <c r="R97" s="467">
        <v>1</v>
      </c>
      <c r="S97" s="468">
        <f t="shared" si="7"/>
        <v>0</v>
      </c>
      <c r="T97" s="601"/>
      <c r="U97" s="602"/>
      <c r="V97" s="602"/>
      <c r="W97" s="609">
        <f>S97</f>
        <v>0</v>
      </c>
      <c r="X97" s="580"/>
      <c r="Y97" s="602"/>
      <c r="Z97" s="603"/>
    </row>
    <row r="98" spans="1:26" ht="15.75">
      <c r="A98" s="393">
        <v>2</v>
      </c>
      <c r="B98" s="424" t="s">
        <v>301</v>
      </c>
      <c r="C98" s="390"/>
      <c r="D98" s="390"/>
      <c r="I98" s="425"/>
      <c r="J98" s="408"/>
      <c r="K98" s="425"/>
      <c r="L98" s="425">
        <f t="shared" si="4"/>
        <v>0</v>
      </c>
      <c r="M98" s="467"/>
      <c r="N98" s="468">
        <f t="shared" si="5"/>
        <v>0</v>
      </c>
      <c r="O98" s="467"/>
      <c r="P98" s="467">
        <f t="shared" si="6"/>
        <v>0</v>
      </c>
      <c r="Q98" s="467"/>
      <c r="R98" s="467"/>
      <c r="S98" s="468">
        <f t="shared" si="7"/>
        <v>0</v>
      </c>
      <c r="T98" s="601"/>
      <c r="U98" s="602"/>
      <c r="V98" s="602"/>
      <c r="W98" s="602"/>
      <c r="X98" s="609"/>
      <c r="Y98" s="602"/>
      <c r="Z98" s="603"/>
    </row>
    <row r="99" spans="1:26" ht="15.75">
      <c r="A99" s="393"/>
      <c r="B99" s="424"/>
      <c r="C99" s="390" t="s">
        <v>274</v>
      </c>
      <c r="D99" s="390"/>
      <c r="I99" s="425">
        <f>ELITE!H24+ELITE!H27</f>
        <v>0</v>
      </c>
      <c r="J99" s="408"/>
      <c r="K99" s="425">
        <v>1</v>
      </c>
      <c r="L99" s="425">
        <f t="shared" si="4"/>
        <v>0</v>
      </c>
      <c r="M99" s="425">
        <f>M79</f>
        <v>0.8333333333333333</v>
      </c>
      <c r="N99" s="468">
        <f t="shared" si="5"/>
        <v>0</v>
      </c>
      <c r="O99" s="425">
        <f>O79</f>
        <v>1.0714285714285714</v>
      </c>
      <c r="P99" s="467">
        <f t="shared" si="6"/>
        <v>0</v>
      </c>
      <c r="Q99" s="425">
        <f>Q79</f>
        <v>0.37</v>
      </c>
      <c r="R99" s="425">
        <v>0.6666666666666666</v>
      </c>
      <c r="S99" s="468">
        <f t="shared" si="7"/>
        <v>0</v>
      </c>
      <c r="T99" s="601"/>
      <c r="U99" s="604">
        <f>S99</f>
        <v>0</v>
      </c>
      <c r="V99" s="602"/>
      <c r="W99" s="602"/>
      <c r="X99" s="609"/>
      <c r="Y99" s="602"/>
      <c r="Z99" s="603"/>
    </row>
    <row r="100" spans="1:26" ht="15.75">
      <c r="A100" s="393"/>
      <c r="B100" s="424"/>
      <c r="C100" s="390" t="s">
        <v>434</v>
      </c>
      <c r="D100" s="390"/>
      <c r="I100" s="425">
        <f>ELITE!H26+ELITE!H28+ELITE!H27</f>
        <v>0</v>
      </c>
      <c r="J100" s="408"/>
      <c r="K100" s="425">
        <v>1</v>
      </c>
      <c r="L100" s="425">
        <f t="shared" si="4"/>
        <v>0</v>
      </c>
      <c r="M100" s="425">
        <f>M79</f>
        <v>0.8333333333333333</v>
      </c>
      <c r="N100" s="468">
        <f t="shared" si="5"/>
        <v>0</v>
      </c>
      <c r="O100" s="425">
        <f>O79</f>
        <v>1.0714285714285714</v>
      </c>
      <c r="P100" s="467">
        <f t="shared" si="6"/>
        <v>0</v>
      </c>
      <c r="Q100" s="425">
        <f>Q79</f>
        <v>0.37</v>
      </c>
      <c r="R100" s="468">
        <v>0.8888888888888888</v>
      </c>
      <c r="S100" s="468">
        <f t="shared" si="7"/>
        <v>0</v>
      </c>
      <c r="T100" s="601"/>
      <c r="U100" s="604">
        <f>S100</f>
        <v>0</v>
      </c>
      <c r="V100" s="602"/>
      <c r="W100" s="602"/>
      <c r="X100" s="609"/>
      <c r="Y100" s="602"/>
      <c r="Z100" s="603"/>
    </row>
    <row r="101" spans="1:26" ht="15.75">
      <c r="A101" s="393"/>
      <c r="B101" s="424"/>
      <c r="C101" s="390" t="s">
        <v>439</v>
      </c>
      <c r="D101" s="390"/>
      <c r="I101" s="425">
        <f>ELITE!H30</f>
        <v>0</v>
      </c>
      <c r="J101" s="408"/>
      <c r="K101" s="425">
        <v>1</v>
      </c>
      <c r="L101" s="425">
        <f t="shared" si="4"/>
        <v>0</v>
      </c>
      <c r="M101" s="425">
        <f>M82</f>
        <v>1.6666666666666665</v>
      </c>
      <c r="N101" s="468">
        <f t="shared" si="5"/>
        <v>0</v>
      </c>
      <c r="O101" s="425">
        <f>O82</f>
        <v>0</v>
      </c>
      <c r="P101" s="467">
        <f t="shared" si="6"/>
        <v>0</v>
      </c>
      <c r="Q101" s="468">
        <f>Q82</f>
        <v>3.25</v>
      </c>
      <c r="R101" s="468">
        <v>0.6666666666666666</v>
      </c>
      <c r="S101" s="468">
        <f t="shared" si="7"/>
        <v>0</v>
      </c>
      <c r="T101" s="601">
        <f>S101</f>
        <v>0</v>
      </c>
      <c r="U101" s="602"/>
      <c r="V101" s="602"/>
      <c r="W101" s="602"/>
      <c r="X101" s="609"/>
      <c r="Y101" s="602"/>
      <c r="Z101" s="603"/>
    </row>
    <row r="102" spans="1:26" ht="15.75">
      <c r="A102" s="393"/>
      <c r="B102" s="424"/>
      <c r="C102" s="390" t="s">
        <v>436</v>
      </c>
      <c r="D102" s="390"/>
      <c r="I102" s="425">
        <f>ELITE!H31</f>
        <v>0</v>
      </c>
      <c r="J102" s="408"/>
      <c r="K102" s="425">
        <v>1</v>
      </c>
      <c r="L102" s="425">
        <f t="shared" si="4"/>
        <v>0</v>
      </c>
      <c r="M102" s="425">
        <f>M83</f>
        <v>2.5</v>
      </c>
      <c r="N102" s="468">
        <f t="shared" si="5"/>
        <v>0</v>
      </c>
      <c r="O102" s="425">
        <f>O83</f>
        <v>0</v>
      </c>
      <c r="P102" s="467">
        <f t="shared" si="6"/>
        <v>0</v>
      </c>
      <c r="Q102" s="468">
        <f>Q83</f>
        <v>0.37</v>
      </c>
      <c r="R102" s="468">
        <v>0.43209876543209874</v>
      </c>
      <c r="S102" s="468">
        <f t="shared" si="7"/>
        <v>0</v>
      </c>
      <c r="T102" s="601"/>
      <c r="U102" s="602">
        <f>S102</f>
        <v>0</v>
      </c>
      <c r="V102" s="602"/>
      <c r="W102" s="602"/>
      <c r="X102" s="609"/>
      <c r="Y102" s="602"/>
      <c r="Z102" s="603"/>
    </row>
    <row r="103" spans="1:26" ht="15.75">
      <c r="A103" s="393">
        <v>3</v>
      </c>
      <c r="B103" s="424" t="s">
        <v>307</v>
      </c>
      <c r="C103" s="390"/>
      <c r="D103" s="390"/>
      <c r="I103" s="425"/>
      <c r="J103" s="408"/>
      <c r="K103" s="425"/>
      <c r="L103" s="425"/>
      <c r="M103" s="425"/>
      <c r="N103" s="468"/>
      <c r="O103" s="425"/>
      <c r="P103" s="467"/>
      <c r="Q103" s="468"/>
      <c r="R103" s="468"/>
      <c r="S103" s="468"/>
      <c r="T103" s="601"/>
      <c r="U103" s="602"/>
      <c r="V103" s="602"/>
      <c r="W103" s="602"/>
      <c r="X103" s="609"/>
      <c r="Y103" s="602"/>
      <c r="Z103" s="603"/>
    </row>
    <row r="104" spans="1:26" ht="15.75">
      <c r="A104" s="111"/>
      <c r="B104" s="424"/>
      <c r="C104" s="390" t="s">
        <v>274</v>
      </c>
      <c r="D104" s="390"/>
      <c r="I104" s="425">
        <f>ELITE!H35</f>
        <v>0</v>
      </c>
      <c r="J104" s="408"/>
      <c r="K104" s="425">
        <v>1</v>
      </c>
      <c r="L104" s="425">
        <f>K104*(I104+J104)</f>
        <v>0</v>
      </c>
      <c r="M104" s="425">
        <f>M99</f>
        <v>0.8333333333333333</v>
      </c>
      <c r="N104" s="468">
        <f>L104*M104</f>
        <v>0</v>
      </c>
      <c r="O104" s="425">
        <f>O99</f>
        <v>1.0714285714285714</v>
      </c>
      <c r="P104" s="467">
        <f>L104*O104</f>
        <v>0</v>
      </c>
      <c r="Q104" s="425">
        <f>Q99</f>
        <v>0.37</v>
      </c>
      <c r="R104" s="425">
        <v>0.6666666666666666</v>
      </c>
      <c r="S104" s="468">
        <f>L104*Q104*R104</f>
        <v>0</v>
      </c>
      <c r="T104" s="601"/>
      <c r="U104" s="604">
        <f>S104</f>
        <v>0</v>
      </c>
      <c r="V104" s="602"/>
      <c r="W104" s="602"/>
      <c r="X104" s="609"/>
      <c r="Y104" s="602"/>
      <c r="Z104" s="603"/>
    </row>
    <row r="105" spans="1:26" ht="15.75">
      <c r="A105" s="111"/>
      <c r="B105" s="424"/>
      <c r="C105" s="390" t="s">
        <v>438</v>
      </c>
      <c r="D105" s="390"/>
      <c r="I105" s="425">
        <f>ELITE!H38</f>
        <v>0</v>
      </c>
      <c r="J105" s="408"/>
      <c r="K105" s="425">
        <v>1</v>
      </c>
      <c r="L105" s="425">
        <f>K105*(I105+J105)</f>
        <v>0</v>
      </c>
      <c r="M105" s="468">
        <f>C16</f>
        <v>2.5</v>
      </c>
      <c r="N105" s="468">
        <f>L105*M105</f>
        <v>0</v>
      </c>
      <c r="O105" s="425">
        <f>G27</f>
        <v>0</v>
      </c>
      <c r="P105" s="467">
        <f>L105*O105</f>
        <v>0</v>
      </c>
      <c r="Q105" s="468">
        <f>O22</f>
        <v>0.03</v>
      </c>
      <c r="R105" s="468">
        <v>0.6666666666666666</v>
      </c>
      <c r="S105" s="468">
        <f>L105*Q105*R105</f>
        <v>0</v>
      </c>
      <c r="T105" s="601"/>
      <c r="U105" s="602">
        <f>S105*1/6</f>
        <v>0</v>
      </c>
      <c r="V105" s="602"/>
      <c r="W105" s="602"/>
      <c r="X105" s="609"/>
      <c r="Y105" s="602">
        <f>S105*5/6</f>
        <v>0</v>
      </c>
      <c r="Z105" s="603"/>
    </row>
    <row r="106" spans="1:26" ht="15.75">
      <c r="A106" s="111"/>
      <c r="B106" s="424"/>
      <c r="C106" s="390" t="s">
        <v>299</v>
      </c>
      <c r="D106" s="390"/>
      <c r="I106" s="425">
        <f>ELITE!H40</f>
        <v>0</v>
      </c>
      <c r="J106" s="408"/>
      <c r="K106" s="425">
        <v>1</v>
      </c>
      <c r="L106" s="425">
        <f>K106*(I106+J106)</f>
        <v>0</v>
      </c>
      <c r="M106" s="425">
        <f>M84</f>
        <v>3.333333333333333</v>
      </c>
      <c r="N106" s="468">
        <f>L106*M106</f>
        <v>0</v>
      </c>
      <c r="O106" s="425">
        <f>O84</f>
        <v>0</v>
      </c>
      <c r="P106" s="467">
        <f>L106*O106</f>
        <v>0</v>
      </c>
      <c r="Q106" s="468">
        <f>Q84</f>
        <v>0.83</v>
      </c>
      <c r="R106" s="468">
        <f>R105</f>
        <v>0.6666666666666666</v>
      </c>
      <c r="S106" s="468">
        <f>L106*Q106*R106</f>
        <v>0</v>
      </c>
      <c r="T106" s="601"/>
      <c r="U106" s="602"/>
      <c r="V106" s="604">
        <f>S106</f>
        <v>0</v>
      </c>
      <c r="W106" s="602"/>
      <c r="X106" s="609"/>
      <c r="Z106" s="603"/>
    </row>
    <row r="107" spans="1:26" ht="15.75">
      <c r="A107" s="393">
        <v>4</v>
      </c>
      <c r="B107" s="424" t="s">
        <v>308</v>
      </c>
      <c r="C107" s="390"/>
      <c r="D107" s="390"/>
      <c r="I107" s="425"/>
      <c r="J107" s="408"/>
      <c r="K107" s="425"/>
      <c r="L107" s="425"/>
      <c r="M107" s="425"/>
      <c r="N107" s="468"/>
      <c r="O107" s="425"/>
      <c r="P107" s="467"/>
      <c r="Q107" s="425"/>
      <c r="R107" s="425"/>
      <c r="S107" s="468"/>
      <c r="T107" s="601"/>
      <c r="U107" s="602"/>
      <c r="V107" s="602"/>
      <c r="W107" s="602"/>
      <c r="X107" s="609"/>
      <c r="Y107" s="604"/>
      <c r="Z107" s="603"/>
    </row>
    <row r="108" spans="1:26" ht="15.75">
      <c r="A108" s="111"/>
      <c r="B108" s="424"/>
      <c r="C108" s="390" t="s">
        <v>274</v>
      </c>
      <c r="D108" s="390"/>
      <c r="I108" s="425">
        <f>ELITE!H48+ELITE!H72+ELITE!H73+ELITE!H50</f>
        <v>0</v>
      </c>
      <c r="J108" s="408"/>
      <c r="K108" s="425">
        <v>1</v>
      </c>
      <c r="L108" s="425">
        <f aca="true" t="shared" si="8" ref="L108:L114">K108*(I108+J108)</f>
        <v>0</v>
      </c>
      <c r="M108" s="425">
        <f aca="true" t="shared" si="9" ref="M108:M114">M79</f>
        <v>0.8333333333333333</v>
      </c>
      <c r="N108" s="468">
        <f aca="true" t="shared" si="10" ref="N108:N114">L108*M108</f>
        <v>0</v>
      </c>
      <c r="O108" s="425">
        <f aca="true" t="shared" si="11" ref="O108:O114">O79</f>
        <v>1.0714285714285714</v>
      </c>
      <c r="P108" s="467">
        <f aca="true" t="shared" si="12" ref="P108:P114">L108*O108</f>
        <v>0</v>
      </c>
      <c r="Q108" s="425">
        <f aca="true" t="shared" si="13" ref="Q108:Q114">Q79</f>
        <v>0.37</v>
      </c>
      <c r="R108" s="425">
        <v>0.6666666666666666</v>
      </c>
      <c r="S108" s="468">
        <f aca="true" t="shared" si="14" ref="S108:S114">L108*Q108*R108</f>
        <v>0</v>
      </c>
      <c r="T108" s="601"/>
      <c r="U108" s="604">
        <f>S108</f>
        <v>0</v>
      </c>
      <c r="V108" s="602"/>
      <c r="W108" s="602"/>
      <c r="X108" s="609"/>
      <c r="Y108" s="604"/>
      <c r="Z108" s="603"/>
    </row>
    <row r="109" spans="1:26" ht="15.75">
      <c r="A109" s="111"/>
      <c r="B109" s="424"/>
      <c r="C109" s="390" t="s">
        <v>426</v>
      </c>
      <c r="D109" s="390"/>
      <c r="I109" s="425">
        <f>ELITE!H51+ELITE!H57+ELITE!H66+ELITE!H75+ELITE!H84</f>
        <v>0</v>
      </c>
      <c r="J109" s="408"/>
      <c r="K109" s="425">
        <v>1.5</v>
      </c>
      <c r="L109" s="425">
        <f t="shared" si="8"/>
        <v>0</v>
      </c>
      <c r="M109" s="425">
        <f t="shared" si="9"/>
        <v>1.25</v>
      </c>
      <c r="N109" s="468">
        <f t="shared" si="10"/>
        <v>0</v>
      </c>
      <c r="O109" s="425">
        <f t="shared" si="11"/>
        <v>1.4285714285714284</v>
      </c>
      <c r="P109" s="467">
        <f t="shared" si="12"/>
        <v>0</v>
      </c>
      <c r="Q109" s="425">
        <f t="shared" si="13"/>
        <v>0.37</v>
      </c>
      <c r="R109" s="425">
        <v>0.6666666666666666</v>
      </c>
      <c r="S109" s="468">
        <f t="shared" si="14"/>
        <v>0</v>
      </c>
      <c r="T109" s="601"/>
      <c r="U109" s="604">
        <f>S109</f>
        <v>0</v>
      </c>
      <c r="V109" s="602"/>
      <c r="W109" s="602"/>
      <c r="X109" s="609"/>
      <c r="Y109" s="604"/>
      <c r="Z109" s="603"/>
    </row>
    <row r="110" spans="1:26" ht="15.75">
      <c r="A110" s="111"/>
      <c r="B110" s="424"/>
      <c r="C110" s="390" t="s">
        <v>427</v>
      </c>
      <c r="D110" s="390"/>
      <c r="I110" s="425">
        <f>ELITE!H56+ELITE!H65+ELITE!H74+ELITE!H83+ELITE!H52</f>
        <v>0</v>
      </c>
      <c r="J110" s="408"/>
      <c r="K110" s="425">
        <v>1</v>
      </c>
      <c r="L110" s="425">
        <f t="shared" si="8"/>
        <v>0</v>
      </c>
      <c r="M110" s="425">
        <f t="shared" si="9"/>
        <v>0.8333333333333333</v>
      </c>
      <c r="N110" s="468">
        <f t="shared" si="10"/>
        <v>0</v>
      </c>
      <c r="O110" s="425">
        <f t="shared" si="11"/>
        <v>1.0714285714285714</v>
      </c>
      <c r="P110" s="467">
        <f t="shared" si="12"/>
        <v>0</v>
      </c>
      <c r="Q110" s="425">
        <f t="shared" si="13"/>
        <v>3.25</v>
      </c>
      <c r="R110" s="425">
        <v>0.6666666666666666</v>
      </c>
      <c r="S110" s="468">
        <f t="shared" si="14"/>
        <v>0</v>
      </c>
      <c r="T110" s="610">
        <f>S110</f>
        <v>0</v>
      </c>
      <c r="U110" s="602"/>
      <c r="V110" s="602"/>
      <c r="W110" s="602"/>
      <c r="X110" s="609"/>
      <c r="Y110" s="604"/>
      <c r="Z110" s="603"/>
    </row>
    <row r="111" spans="1:26" ht="15.75">
      <c r="A111" s="111"/>
      <c r="B111" s="424"/>
      <c r="C111" s="390" t="s">
        <v>429</v>
      </c>
      <c r="D111" s="390"/>
      <c r="I111" s="425">
        <f>ELITE!H59+ELITE!H68+ELITE!H86+ELITE!H77</f>
        <v>0</v>
      </c>
      <c r="J111" s="408"/>
      <c r="K111" s="425">
        <v>1</v>
      </c>
      <c r="L111" s="425">
        <f t="shared" si="8"/>
        <v>0</v>
      </c>
      <c r="M111" s="425">
        <f t="shared" si="9"/>
        <v>1.6666666666666665</v>
      </c>
      <c r="N111" s="468">
        <f t="shared" si="10"/>
        <v>0</v>
      </c>
      <c r="O111" s="425">
        <f t="shared" si="11"/>
        <v>0</v>
      </c>
      <c r="P111" s="467">
        <f t="shared" si="12"/>
        <v>0</v>
      </c>
      <c r="Q111" s="425">
        <f t="shared" si="13"/>
        <v>3.25</v>
      </c>
      <c r="R111" s="425">
        <v>0.6666666666666666</v>
      </c>
      <c r="S111" s="468">
        <f t="shared" si="14"/>
        <v>0</v>
      </c>
      <c r="T111" s="610">
        <f>S111</f>
        <v>0</v>
      </c>
      <c r="U111" s="602"/>
      <c r="V111" s="602"/>
      <c r="W111" s="602"/>
      <c r="X111" s="609"/>
      <c r="Y111" s="604"/>
      <c r="Z111" s="603"/>
    </row>
    <row r="112" spans="1:26" ht="15.75">
      <c r="A112" s="111"/>
      <c r="B112" s="424"/>
      <c r="C112" s="390" t="s">
        <v>428</v>
      </c>
      <c r="D112" s="390"/>
      <c r="I112" s="425">
        <f>ELITE!H60+ELITE!H69+ELITE!H78+ELITE!H87</f>
        <v>0</v>
      </c>
      <c r="J112" s="408"/>
      <c r="K112" s="425">
        <v>1</v>
      </c>
      <c r="L112" s="425">
        <f t="shared" si="8"/>
        <v>0</v>
      </c>
      <c r="M112" s="425">
        <f t="shared" si="9"/>
        <v>2.5</v>
      </c>
      <c r="N112" s="468">
        <f t="shared" si="10"/>
        <v>0</v>
      </c>
      <c r="O112" s="425">
        <f t="shared" si="11"/>
        <v>0</v>
      </c>
      <c r="P112" s="467">
        <f t="shared" si="12"/>
        <v>0</v>
      </c>
      <c r="Q112" s="425">
        <f t="shared" si="13"/>
        <v>0.37</v>
      </c>
      <c r="R112" s="425">
        <v>0.43209876543209874</v>
      </c>
      <c r="S112" s="468">
        <f t="shared" si="14"/>
        <v>0</v>
      </c>
      <c r="T112" s="601"/>
      <c r="U112" s="604">
        <f>S112</f>
        <v>0</v>
      </c>
      <c r="V112" s="602"/>
      <c r="W112" s="602"/>
      <c r="X112" s="609"/>
      <c r="Y112" s="604"/>
      <c r="Z112" s="603"/>
    </row>
    <row r="113" spans="1:26" ht="15.75">
      <c r="A113" s="111"/>
      <c r="B113" s="424"/>
      <c r="C113" s="390" t="s">
        <v>299</v>
      </c>
      <c r="D113" s="390"/>
      <c r="I113" s="425">
        <f>ELITE!H61+ELITE!H70+ELITE!H79+ELITE!H88</f>
        <v>0</v>
      </c>
      <c r="J113" s="408"/>
      <c r="K113" s="425">
        <v>1</v>
      </c>
      <c r="L113" s="425">
        <f t="shared" si="8"/>
        <v>0</v>
      </c>
      <c r="M113" s="425">
        <f t="shared" si="9"/>
        <v>3.333333333333333</v>
      </c>
      <c r="N113" s="468">
        <f t="shared" si="10"/>
        <v>0</v>
      </c>
      <c r="O113" s="425">
        <f t="shared" si="11"/>
        <v>0</v>
      </c>
      <c r="P113" s="467">
        <f t="shared" si="12"/>
        <v>0</v>
      </c>
      <c r="Q113" s="425">
        <f t="shared" si="13"/>
        <v>0.83</v>
      </c>
      <c r="R113" s="425">
        <f>R114</f>
        <v>0.6666666666666666</v>
      </c>
      <c r="S113" s="468">
        <f t="shared" si="14"/>
        <v>0</v>
      </c>
      <c r="T113" s="601"/>
      <c r="U113" s="602"/>
      <c r="V113" s="604">
        <f>S113</f>
        <v>0</v>
      </c>
      <c r="W113" s="602"/>
      <c r="X113" s="609"/>
      <c r="Y113" s="604"/>
      <c r="Z113" s="603"/>
    </row>
    <row r="114" spans="1:26" ht="16.5" thickBot="1">
      <c r="A114" s="111"/>
      <c r="B114" s="424"/>
      <c r="C114" s="390" t="s">
        <v>112</v>
      </c>
      <c r="D114" s="390"/>
      <c r="I114" s="425">
        <f>ELITE!H62+ELITE!H71+ELITE!H89+ELITE!H80</f>
        <v>0</v>
      </c>
      <c r="J114" s="408"/>
      <c r="K114" s="425">
        <v>1</v>
      </c>
      <c r="L114" s="425">
        <f t="shared" si="8"/>
        <v>0</v>
      </c>
      <c r="M114" s="425">
        <f t="shared" si="9"/>
        <v>3.333333333333333</v>
      </c>
      <c r="N114" s="468">
        <f t="shared" si="10"/>
        <v>0</v>
      </c>
      <c r="O114" s="425">
        <f t="shared" si="11"/>
        <v>0</v>
      </c>
      <c r="P114" s="467">
        <f t="shared" si="12"/>
        <v>0</v>
      </c>
      <c r="Q114" s="425">
        <f t="shared" si="13"/>
        <v>1.39</v>
      </c>
      <c r="R114" s="425">
        <v>0.6666666666666666</v>
      </c>
      <c r="S114" s="468">
        <f t="shared" si="14"/>
        <v>0</v>
      </c>
      <c r="T114" s="601"/>
      <c r="U114" s="604">
        <f>S114</f>
        <v>0</v>
      </c>
      <c r="V114" s="602"/>
      <c r="W114" s="602"/>
      <c r="X114" s="609"/>
      <c r="Y114" s="604"/>
      <c r="Z114" s="603"/>
    </row>
    <row r="115" spans="1:26" ht="13.5" thickBot="1">
      <c r="A115" s="395"/>
      <c r="B115" s="388" t="s">
        <v>15</v>
      </c>
      <c r="C115" s="388"/>
      <c r="D115" s="398"/>
      <c r="E115" s="398"/>
      <c r="F115" s="398"/>
      <c r="G115" s="398"/>
      <c r="H115" s="428"/>
      <c r="I115" s="381">
        <f>SUM(I116:I127)</f>
        <v>0</v>
      </c>
      <c r="J115" s="381">
        <f>SUM(J116:J127)</f>
        <v>0</v>
      </c>
      <c r="K115" s="381"/>
      <c r="L115" s="381">
        <f>SUM(L116:L127)</f>
        <v>0</v>
      </c>
      <c r="M115" s="436">
        <f>SUM(M116:M127)</f>
        <v>10.416666666666664</v>
      </c>
      <c r="N115" s="436">
        <f>SUM(N116:N127)</f>
        <v>0</v>
      </c>
      <c r="O115" s="436">
        <f>SUM(O116:O127)</f>
        <v>12.142857142857144</v>
      </c>
      <c r="P115" s="436">
        <f>SUM(P116:P127)</f>
        <v>0</v>
      </c>
      <c r="Q115" s="436"/>
      <c r="R115" s="436"/>
      <c r="S115" s="503">
        <f>SUM(S116:S127)</f>
        <v>0</v>
      </c>
      <c r="T115" s="601"/>
      <c r="U115" s="602"/>
      <c r="V115" s="602"/>
      <c r="W115" s="602"/>
      <c r="X115" s="609"/>
      <c r="Y115" s="602"/>
      <c r="Z115" s="603"/>
    </row>
    <row r="116" spans="1:26" ht="15.75">
      <c r="A116" s="393">
        <v>1</v>
      </c>
      <c r="B116" s="424" t="s">
        <v>443</v>
      </c>
      <c r="C116" s="390"/>
      <c r="D116" s="432"/>
      <c r="I116" s="425"/>
      <c r="J116" s="408"/>
      <c r="K116" s="425"/>
      <c r="L116" s="425">
        <f aca="true" t="shared" si="15" ref="L116:L123">K116*(I116+J116)</f>
        <v>0</v>
      </c>
      <c r="M116" s="467"/>
      <c r="N116" s="467"/>
      <c r="O116" s="467"/>
      <c r="P116" s="467"/>
      <c r="Q116" s="467"/>
      <c r="R116" s="467"/>
      <c r="S116" s="468"/>
      <c r="T116" s="601"/>
      <c r="U116" s="602"/>
      <c r="V116" s="602"/>
      <c r="W116" s="602"/>
      <c r="X116" s="609"/>
      <c r="Y116" s="602"/>
      <c r="Z116" s="603"/>
    </row>
    <row r="117" spans="1:26" ht="12.75">
      <c r="A117" s="393"/>
      <c r="B117" s="432"/>
      <c r="C117" s="390" t="s">
        <v>442</v>
      </c>
      <c r="D117" s="432"/>
      <c r="I117" s="425">
        <f>'A.RAPIDO'!H6</f>
        <v>0</v>
      </c>
      <c r="J117" s="408"/>
      <c r="K117" s="425">
        <v>1</v>
      </c>
      <c r="L117" s="425">
        <f t="shared" si="15"/>
        <v>0</v>
      </c>
      <c r="M117" s="425">
        <f>M108</f>
        <v>0.8333333333333333</v>
      </c>
      <c r="N117" s="467">
        <f aca="true" t="shared" si="16" ref="N117:N123">L117*M117</f>
        <v>0</v>
      </c>
      <c r="O117" s="425">
        <f>O108</f>
        <v>1.0714285714285714</v>
      </c>
      <c r="P117" s="467">
        <f aca="true" t="shared" si="17" ref="P117:P123">O117*L117</f>
        <v>0</v>
      </c>
      <c r="Q117" s="425">
        <f>Q108</f>
        <v>0.37</v>
      </c>
      <c r="R117" s="425">
        <v>0.6666666666666666</v>
      </c>
      <c r="S117" s="468">
        <f aca="true" t="shared" si="18" ref="S117:S123">L117*Q117*R117</f>
        <v>0</v>
      </c>
      <c r="T117" s="601"/>
      <c r="U117" s="604">
        <f>S117</f>
        <v>0</v>
      </c>
      <c r="V117" s="602"/>
      <c r="W117" s="602"/>
      <c r="X117" s="609"/>
      <c r="Y117" s="602"/>
      <c r="Z117" s="603"/>
    </row>
    <row r="118" spans="1:26" ht="15.75">
      <c r="A118" s="393">
        <v>2</v>
      </c>
      <c r="B118" s="424" t="s">
        <v>444</v>
      </c>
      <c r="C118" s="390"/>
      <c r="D118" s="390"/>
      <c r="I118" s="425"/>
      <c r="J118" s="408"/>
      <c r="K118" s="425"/>
      <c r="L118" s="425">
        <f t="shared" si="15"/>
        <v>0</v>
      </c>
      <c r="M118" s="467"/>
      <c r="N118" s="467">
        <f t="shared" si="16"/>
        <v>0</v>
      </c>
      <c r="O118" s="467"/>
      <c r="P118" s="467">
        <f t="shared" si="17"/>
        <v>0</v>
      </c>
      <c r="Q118" s="467"/>
      <c r="R118" s="467"/>
      <c r="S118" s="468">
        <f t="shared" si="18"/>
        <v>0</v>
      </c>
      <c r="T118" s="601"/>
      <c r="U118" s="602"/>
      <c r="V118" s="602"/>
      <c r="W118" s="602"/>
      <c r="X118" s="609"/>
      <c r="Y118" s="602"/>
      <c r="Z118" s="603"/>
    </row>
    <row r="119" spans="1:26" ht="15.75">
      <c r="A119" s="393"/>
      <c r="B119" s="424"/>
      <c r="C119" s="390" t="s">
        <v>274</v>
      </c>
      <c r="D119" s="390"/>
      <c r="I119" s="425">
        <f>'A.RAPIDO'!H18</f>
        <v>0</v>
      </c>
      <c r="J119" s="408"/>
      <c r="K119" s="425">
        <v>1</v>
      </c>
      <c r="L119" s="425">
        <f t="shared" si="15"/>
        <v>0</v>
      </c>
      <c r="M119" s="468">
        <f>M108</f>
        <v>0.8333333333333333</v>
      </c>
      <c r="N119" s="467">
        <f t="shared" si="16"/>
        <v>0</v>
      </c>
      <c r="O119" s="468">
        <f>O108</f>
        <v>1.0714285714285714</v>
      </c>
      <c r="P119" s="467">
        <f t="shared" si="17"/>
        <v>0</v>
      </c>
      <c r="Q119" s="468">
        <f>Q108</f>
        <v>0.37</v>
      </c>
      <c r="R119" s="468">
        <v>0.6666666666666666</v>
      </c>
      <c r="S119" s="468">
        <f t="shared" si="18"/>
        <v>0</v>
      </c>
      <c r="T119" s="601"/>
      <c r="U119" s="604">
        <f>S119</f>
        <v>0</v>
      </c>
      <c r="V119" s="602"/>
      <c r="W119" s="602"/>
      <c r="X119" s="609"/>
      <c r="Y119" s="602"/>
      <c r="Z119" s="603"/>
    </row>
    <row r="120" spans="1:26" ht="15.75">
      <c r="A120" s="393"/>
      <c r="B120" s="424"/>
      <c r="C120" s="390" t="s">
        <v>426</v>
      </c>
      <c r="D120" s="390"/>
      <c r="I120" s="425">
        <f>'A.RAPIDO'!H21</f>
        <v>0</v>
      </c>
      <c r="J120" s="408"/>
      <c r="K120" s="425">
        <v>1.5</v>
      </c>
      <c r="L120" s="425">
        <f t="shared" si="15"/>
        <v>0</v>
      </c>
      <c r="M120" s="468">
        <f>M109</f>
        <v>1.25</v>
      </c>
      <c r="N120" s="467">
        <f t="shared" si="16"/>
        <v>0</v>
      </c>
      <c r="O120" s="468">
        <f>O109</f>
        <v>1.4285714285714284</v>
      </c>
      <c r="P120" s="467">
        <f t="shared" si="17"/>
        <v>0</v>
      </c>
      <c r="Q120" s="468">
        <f>Q109</f>
        <v>0.37</v>
      </c>
      <c r="R120" s="468">
        <v>0.6666666666666666</v>
      </c>
      <c r="S120" s="468">
        <f t="shared" si="18"/>
        <v>0</v>
      </c>
      <c r="T120" s="601"/>
      <c r="U120" s="604">
        <f>S120</f>
        <v>0</v>
      </c>
      <c r="V120" s="602"/>
      <c r="W120" s="602"/>
      <c r="X120" s="609"/>
      <c r="Y120" s="602"/>
      <c r="Z120" s="603"/>
    </row>
    <row r="121" spans="1:26" ht="15.75">
      <c r="A121" s="393"/>
      <c r="B121" s="424"/>
      <c r="C121" s="390" t="s">
        <v>427</v>
      </c>
      <c r="D121" s="390"/>
      <c r="I121" s="425">
        <f>'A.RAPIDO'!H20</f>
        <v>0</v>
      </c>
      <c r="J121" s="408"/>
      <c r="K121" s="425">
        <v>1</v>
      </c>
      <c r="L121" s="425">
        <f t="shared" si="15"/>
        <v>0</v>
      </c>
      <c r="M121" s="468">
        <f>M110</f>
        <v>0.8333333333333333</v>
      </c>
      <c r="N121" s="467">
        <f t="shared" si="16"/>
        <v>0</v>
      </c>
      <c r="O121" s="468">
        <f>O110</f>
        <v>1.0714285714285714</v>
      </c>
      <c r="P121" s="467">
        <f t="shared" si="17"/>
        <v>0</v>
      </c>
      <c r="Q121" s="468">
        <f>Q110</f>
        <v>3.25</v>
      </c>
      <c r="R121" s="468">
        <v>0.6666666666666666</v>
      </c>
      <c r="S121" s="468">
        <f t="shared" si="18"/>
        <v>0</v>
      </c>
      <c r="T121" s="610">
        <f>S121</f>
        <v>0</v>
      </c>
      <c r="U121" s="602"/>
      <c r="V121" s="602"/>
      <c r="W121" s="602"/>
      <c r="X121" s="609"/>
      <c r="Y121" s="602"/>
      <c r="Z121" s="603"/>
    </row>
    <row r="122" spans="1:26" ht="15.75">
      <c r="A122" s="393"/>
      <c r="B122" s="424"/>
      <c r="C122" s="390" t="s">
        <v>429</v>
      </c>
      <c r="D122" s="390"/>
      <c r="I122" s="425">
        <f>'A.RAPIDO'!H22</f>
        <v>0</v>
      </c>
      <c r="J122" s="408"/>
      <c r="K122" s="425">
        <v>1</v>
      </c>
      <c r="L122" s="425">
        <f t="shared" si="15"/>
        <v>0</v>
      </c>
      <c r="M122" s="468">
        <f>M111</f>
        <v>1.6666666666666665</v>
      </c>
      <c r="N122" s="467">
        <f t="shared" si="16"/>
        <v>0</v>
      </c>
      <c r="O122" s="468">
        <f>G20</f>
        <v>2.142857142857143</v>
      </c>
      <c r="P122" s="467">
        <f t="shared" si="17"/>
        <v>0</v>
      </c>
      <c r="Q122" s="468">
        <f>Q111</f>
        <v>3.25</v>
      </c>
      <c r="R122" s="468">
        <v>0.6666666666666666</v>
      </c>
      <c r="S122" s="468">
        <f t="shared" si="18"/>
        <v>0</v>
      </c>
      <c r="T122" s="610">
        <f>S122</f>
        <v>0</v>
      </c>
      <c r="U122" s="602"/>
      <c r="V122" s="602"/>
      <c r="W122" s="602"/>
      <c r="X122" s="609"/>
      <c r="Y122" s="602"/>
      <c r="Z122" s="603"/>
    </row>
    <row r="123" spans="1:26" ht="15.75">
      <c r="A123" s="393"/>
      <c r="B123" s="424"/>
      <c r="C123" s="590" t="s">
        <v>293</v>
      </c>
      <c r="D123" s="390"/>
      <c r="I123" s="425"/>
      <c r="J123" s="408">
        <f>'A.RAPIDO'!H24</f>
        <v>0</v>
      </c>
      <c r="K123" s="425">
        <v>4</v>
      </c>
      <c r="L123" s="425">
        <f t="shared" si="15"/>
        <v>0</v>
      </c>
      <c r="M123" s="468">
        <f>M91</f>
        <v>1.6666666666666665</v>
      </c>
      <c r="N123" s="467">
        <f t="shared" si="16"/>
        <v>0</v>
      </c>
      <c r="O123" s="468">
        <f>G21</f>
        <v>1.7857142857142858</v>
      </c>
      <c r="P123" s="467">
        <f t="shared" si="17"/>
        <v>0</v>
      </c>
      <c r="Q123" s="468">
        <f>Q91</f>
        <v>0.43</v>
      </c>
      <c r="R123" s="468">
        <v>0.6666666666666666</v>
      </c>
      <c r="S123" s="468">
        <f t="shared" si="18"/>
        <v>0</v>
      </c>
      <c r="T123" s="601"/>
      <c r="U123" s="602">
        <f>S123*1/6</f>
        <v>0</v>
      </c>
      <c r="V123" s="602"/>
      <c r="W123" s="602">
        <f>S123*5/6</f>
        <v>0</v>
      </c>
      <c r="X123" s="609"/>
      <c r="Y123" s="602"/>
      <c r="Z123" s="603"/>
    </row>
    <row r="124" spans="1:26" ht="15.75">
      <c r="A124" s="393">
        <v>3</v>
      </c>
      <c r="B124" s="424" t="s">
        <v>445</v>
      </c>
      <c r="C124" s="590"/>
      <c r="D124" s="390"/>
      <c r="I124" s="425"/>
      <c r="J124" s="408"/>
      <c r="K124" s="425"/>
      <c r="L124" s="425"/>
      <c r="M124" s="468"/>
      <c r="N124" s="467"/>
      <c r="O124" s="468"/>
      <c r="P124" s="467"/>
      <c r="Q124" s="468"/>
      <c r="R124" s="468"/>
      <c r="S124" s="468"/>
      <c r="T124" s="601"/>
      <c r="U124" s="602"/>
      <c r="V124" s="602"/>
      <c r="W124" s="602"/>
      <c r="X124" s="609"/>
      <c r="Y124" s="602"/>
      <c r="Z124" s="603"/>
    </row>
    <row r="125" spans="1:26" ht="15.75">
      <c r="A125" s="111"/>
      <c r="B125" s="424"/>
      <c r="C125" s="390" t="s">
        <v>429</v>
      </c>
      <c r="D125" s="390"/>
      <c r="I125" s="425"/>
      <c r="J125" s="408">
        <f>'A.RAPIDO'!H27+'A.RAPIDO'!H28+'A.RAPIDO'!H29+'A.RAPIDO'!H30</f>
        <v>0</v>
      </c>
      <c r="K125" s="425">
        <v>1</v>
      </c>
      <c r="L125" s="425">
        <f>K125*(I125+J125)</f>
        <v>0</v>
      </c>
      <c r="M125" s="425">
        <f>M122</f>
        <v>1.6666666666666665</v>
      </c>
      <c r="N125" s="467">
        <f>L125*M125</f>
        <v>0</v>
      </c>
      <c r="O125" s="468">
        <f>G21</f>
        <v>1.7857142857142858</v>
      </c>
      <c r="P125" s="467">
        <f>O125*L125</f>
        <v>0</v>
      </c>
      <c r="Q125" s="425">
        <f>Q122</f>
        <v>3.25</v>
      </c>
      <c r="R125" s="425">
        <v>0.6666666666666666</v>
      </c>
      <c r="S125" s="468">
        <f>L125*Q125*R125</f>
        <v>0</v>
      </c>
      <c r="T125" s="610">
        <f>S125</f>
        <v>0</v>
      </c>
      <c r="U125" s="602"/>
      <c r="V125" s="602"/>
      <c r="W125" s="602"/>
      <c r="X125" s="609"/>
      <c r="Y125" s="602"/>
      <c r="Z125" s="603"/>
    </row>
    <row r="126" spans="1:26" ht="15.75">
      <c r="A126" s="111"/>
      <c r="B126" s="424"/>
      <c r="C126" s="590" t="s">
        <v>293</v>
      </c>
      <c r="D126" s="390"/>
      <c r="I126" s="425"/>
      <c r="J126" s="408">
        <f>'A.RAPIDO'!H28+'A.RAPIDO'!H32</f>
        <v>0</v>
      </c>
      <c r="K126" s="425">
        <v>4</v>
      </c>
      <c r="L126" s="425">
        <f>K126*(I126+J126)</f>
        <v>0</v>
      </c>
      <c r="M126" s="425">
        <f>M123</f>
        <v>1.6666666666666665</v>
      </c>
      <c r="N126" s="467">
        <f>L126*M126</f>
        <v>0</v>
      </c>
      <c r="O126" s="425">
        <f>O123</f>
        <v>1.7857142857142858</v>
      </c>
      <c r="P126" s="467">
        <f>O126*L126</f>
        <v>0</v>
      </c>
      <c r="Q126" s="425">
        <f>Q123</f>
        <v>0.43</v>
      </c>
      <c r="R126" s="425">
        <v>0.6666666666666666</v>
      </c>
      <c r="S126" s="468">
        <f>L126*Q126*R126</f>
        <v>0</v>
      </c>
      <c r="T126" s="601"/>
      <c r="U126" s="602">
        <f>S126*1/6</f>
        <v>0</v>
      </c>
      <c r="V126" s="602"/>
      <c r="W126" s="602">
        <f>S126*5/6</f>
        <v>0</v>
      </c>
      <c r="X126" s="609"/>
      <c r="Y126" s="602"/>
      <c r="Z126" s="603"/>
    </row>
    <row r="127" spans="2:26" ht="13.5" thickBot="1">
      <c r="B127" s="390"/>
      <c r="C127" s="390"/>
      <c r="D127" s="390"/>
      <c r="I127" s="425"/>
      <c r="J127" s="408"/>
      <c r="K127" s="425"/>
      <c r="L127" s="425">
        <f>K127*(I127+J127)</f>
        <v>0</v>
      </c>
      <c r="M127" s="467"/>
      <c r="N127" s="467"/>
      <c r="O127" s="467"/>
      <c r="P127" s="467"/>
      <c r="Q127" s="467"/>
      <c r="R127" s="467"/>
      <c r="S127" s="468"/>
      <c r="T127" s="601"/>
      <c r="U127" s="602"/>
      <c r="V127" s="602"/>
      <c r="W127" s="602"/>
      <c r="X127" s="609"/>
      <c r="Y127" s="602"/>
      <c r="Z127" s="603"/>
    </row>
    <row r="128" spans="1:26" ht="13.5" thickBot="1">
      <c r="A128" s="389"/>
      <c r="B128" s="388" t="s">
        <v>16</v>
      </c>
      <c r="C128" s="398"/>
      <c r="D128" s="398"/>
      <c r="E128" s="398"/>
      <c r="F128" s="398"/>
      <c r="G128" s="398"/>
      <c r="H128" s="428"/>
      <c r="I128" s="381">
        <f>SUM(I129:I138)</f>
        <v>0</v>
      </c>
      <c r="J128" s="381">
        <f>SUM(J129:J138)</f>
        <v>0</v>
      </c>
      <c r="K128" s="381"/>
      <c r="L128" s="381">
        <f>SUM(L129:L141)</f>
        <v>0</v>
      </c>
      <c r="M128" s="436">
        <f>SUM(M129:M141)</f>
        <v>26.666666666666664</v>
      </c>
      <c r="N128" s="436">
        <f>SUM(N129:N141)</f>
        <v>0</v>
      </c>
      <c r="O128" s="436">
        <f>SUM(O129:O141)</f>
        <v>16.071428571428573</v>
      </c>
      <c r="P128" s="436">
        <f>SUM(P129:P141)</f>
        <v>0</v>
      </c>
      <c r="Q128" s="436"/>
      <c r="R128" s="436"/>
      <c r="S128" s="613">
        <f>SUM(S129:S141)</f>
        <v>0</v>
      </c>
      <c r="T128" s="601"/>
      <c r="U128" s="602"/>
      <c r="V128" s="602"/>
      <c r="W128" s="602"/>
      <c r="X128" s="609"/>
      <c r="Y128" s="602"/>
      <c r="Z128" s="603"/>
    </row>
    <row r="129" spans="1:26" ht="15.75">
      <c r="A129" s="393">
        <v>1</v>
      </c>
      <c r="B129" s="424" t="s">
        <v>447</v>
      </c>
      <c r="C129" s="390"/>
      <c r="D129" s="390"/>
      <c r="I129" s="425"/>
      <c r="J129" s="408"/>
      <c r="K129" s="425"/>
      <c r="L129" s="425">
        <f aca="true" t="shared" si="19" ref="L129:L134">K129*(I129+J129)</f>
        <v>0</v>
      </c>
      <c r="M129" s="467"/>
      <c r="N129" s="467"/>
      <c r="O129" s="467"/>
      <c r="P129" s="467"/>
      <c r="Q129" s="467"/>
      <c r="R129" s="468"/>
      <c r="S129" s="507"/>
      <c r="T129" s="607"/>
      <c r="U129" s="602"/>
      <c r="V129" s="602"/>
      <c r="W129" s="602"/>
      <c r="X129" s="609"/>
      <c r="Y129" s="602"/>
      <c r="Z129" s="603"/>
    </row>
    <row r="130" spans="1:26" ht="12.75">
      <c r="A130" s="393"/>
      <c r="B130" s="390"/>
      <c r="C130" s="390" t="s">
        <v>274</v>
      </c>
      <c r="D130" s="390"/>
      <c r="I130" s="425">
        <f>'A.PESADO'!H7</f>
        <v>0</v>
      </c>
      <c r="J130" s="408"/>
      <c r="K130" s="425">
        <v>1</v>
      </c>
      <c r="L130" s="425">
        <f t="shared" si="19"/>
        <v>0</v>
      </c>
      <c r="M130" s="468">
        <f>M74</f>
        <v>0.8333333333333333</v>
      </c>
      <c r="N130" s="467">
        <f>M130*L130</f>
        <v>0</v>
      </c>
      <c r="O130" s="468">
        <f>O74</f>
        <v>1.0714285714285714</v>
      </c>
      <c r="P130" s="467">
        <f>O130*L130</f>
        <v>0</v>
      </c>
      <c r="Q130" s="468">
        <f>Q74</f>
        <v>0.37</v>
      </c>
      <c r="R130" s="468">
        <v>0.6666666666666666</v>
      </c>
      <c r="S130" s="467">
        <f>L130*Q130*R130</f>
        <v>0</v>
      </c>
      <c r="T130" s="607"/>
      <c r="U130" s="604">
        <f>S130</f>
        <v>0</v>
      </c>
      <c r="V130" s="602"/>
      <c r="W130" s="602"/>
      <c r="X130" s="609"/>
      <c r="Y130" s="602"/>
      <c r="Z130" s="603"/>
    </row>
    <row r="131" spans="1:26" ht="12.75">
      <c r="A131" s="393"/>
      <c r="B131" s="390"/>
      <c r="C131" s="390" t="s">
        <v>429</v>
      </c>
      <c r="D131" s="390"/>
      <c r="I131" s="425">
        <f>'A.PESADO'!H10</f>
        <v>0</v>
      </c>
      <c r="J131" s="408"/>
      <c r="K131" s="425">
        <v>1</v>
      </c>
      <c r="L131" s="425">
        <f t="shared" si="19"/>
        <v>0</v>
      </c>
      <c r="M131" s="468">
        <f>M82</f>
        <v>1.6666666666666665</v>
      </c>
      <c r="N131" s="467">
        <f>M131*L131</f>
        <v>0</v>
      </c>
      <c r="O131" s="468">
        <f>O82</f>
        <v>0</v>
      </c>
      <c r="P131" s="467">
        <f>O131*L131</f>
        <v>0</v>
      </c>
      <c r="Q131" s="468">
        <f>Q82</f>
        <v>3.25</v>
      </c>
      <c r="R131" s="468">
        <v>0.6666666666666666</v>
      </c>
      <c r="S131" s="467">
        <f>L131*Q131*R131</f>
        <v>0</v>
      </c>
      <c r="T131" s="608">
        <f>S131</f>
        <v>0</v>
      </c>
      <c r="U131" s="602"/>
      <c r="V131" s="602"/>
      <c r="W131" s="602"/>
      <c r="X131" s="609"/>
      <c r="Y131" s="602"/>
      <c r="Z131" s="603"/>
    </row>
    <row r="132" spans="1:26" ht="12.75">
      <c r="A132" s="393"/>
      <c r="B132" s="390"/>
      <c r="C132" s="390" t="s">
        <v>428</v>
      </c>
      <c r="D132" s="390"/>
      <c r="I132" s="425">
        <f>'A.PESADO'!H11</f>
        <v>0</v>
      </c>
      <c r="J132" s="408"/>
      <c r="K132" s="425">
        <v>1</v>
      </c>
      <c r="L132" s="425">
        <f t="shared" si="19"/>
        <v>0</v>
      </c>
      <c r="M132" s="468">
        <f>M83</f>
        <v>2.5</v>
      </c>
      <c r="N132" s="467">
        <f>M132*L132</f>
        <v>0</v>
      </c>
      <c r="O132" s="468">
        <f>O83</f>
        <v>0</v>
      </c>
      <c r="P132" s="467">
        <f>O132*L132</f>
        <v>0</v>
      </c>
      <c r="Q132" s="468">
        <f>Q83</f>
        <v>0.37</v>
      </c>
      <c r="R132" s="468">
        <v>0.43209876543209874</v>
      </c>
      <c r="S132" s="467">
        <f>L132*Q132*R132</f>
        <v>0</v>
      </c>
      <c r="T132" s="607"/>
      <c r="U132" s="609">
        <f>S132</f>
        <v>0</v>
      </c>
      <c r="V132" s="602"/>
      <c r="W132" s="602"/>
      <c r="X132" s="580"/>
      <c r="Y132" s="580"/>
      <c r="Z132" s="603"/>
    </row>
    <row r="133" spans="1:26" ht="12.75">
      <c r="A133" s="393"/>
      <c r="B133" s="390"/>
      <c r="C133" s="390" t="s">
        <v>299</v>
      </c>
      <c r="D133" s="390"/>
      <c r="I133" s="425">
        <f>'A.PESADO'!H12</f>
        <v>0</v>
      </c>
      <c r="J133" s="425"/>
      <c r="K133" s="425">
        <v>1</v>
      </c>
      <c r="L133" s="425">
        <f t="shared" si="19"/>
        <v>0</v>
      </c>
      <c r="M133" s="468">
        <f>M84</f>
        <v>3.333333333333333</v>
      </c>
      <c r="N133" s="467">
        <f>M133*L133</f>
        <v>0</v>
      </c>
      <c r="O133" s="468">
        <f>O84</f>
        <v>0</v>
      </c>
      <c r="P133" s="467">
        <f>O133*L133</f>
        <v>0</v>
      </c>
      <c r="Q133" s="468">
        <f>Q84</f>
        <v>0.83</v>
      </c>
      <c r="R133" s="468">
        <f>R134</f>
        <v>0.6666666666666666</v>
      </c>
      <c r="S133" s="467">
        <f>L133*Q133*R133</f>
        <v>0</v>
      </c>
      <c r="T133" s="607"/>
      <c r="U133" s="602"/>
      <c r="V133" s="604">
        <f>S133</f>
        <v>0</v>
      </c>
      <c r="W133" s="602"/>
      <c r="X133" s="609"/>
      <c r="Y133" s="604"/>
      <c r="Z133" s="603"/>
    </row>
    <row r="134" spans="1:26" ht="12.75">
      <c r="A134" s="393"/>
      <c r="B134" s="390"/>
      <c r="C134" s="390" t="s">
        <v>112</v>
      </c>
      <c r="D134" s="390"/>
      <c r="I134" s="425">
        <f>'A.PESADO'!H13</f>
        <v>0</v>
      </c>
      <c r="J134" s="425"/>
      <c r="K134" s="425">
        <v>1</v>
      </c>
      <c r="L134" s="425">
        <f t="shared" si="19"/>
        <v>0</v>
      </c>
      <c r="M134" s="468">
        <f>M85</f>
        <v>3.333333333333333</v>
      </c>
      <c r="N134" s="467">
        <f>M134*L134</f>
        <v>0</v>
      </c>
      <c r="O134" s="468">
        <f>O85</f>
        <v>0</v>
      </c>
      <c r="P134" s="467">
        <f>O134*L134</f>
        <v>0</v>
      </c>
      <c r="Q134" s="468">
        <f>Q85</f>
        <v>1.39</v>
      </c>
      <c r="R134" s="468">
        <v>0.6666666666666666</v>
      </c>
      <c r="S134" s="467">
        <f>L134*Q134*R134</f>
        <v>0</v>
      </c>
      <c r="T134" s="607"/>
      <c r="U134" s="604">
        <f>S134</f>
        <v>0</v>
      </c>
      <c r="V134" s="602"/>
      <c r="W134" s="602"/>
      <c r="X134" s="609"/>
      <c r="Y134" s="602"/>
      <c r="Z134" s="603"/>
    </row>
    <row r="135" spans="1:26" ht="15.75">
      <c r="A135" s="393">
        <v>2</v>
      </c>
      <c r="B135" s="424" t="s">
        <v>421</v>
      </c>
      <c r="D135" s="390"/>
      <c r="I135" s="425"/>
      <c r="J135" s="408"/>
      <c r="K135" s="425"/>
      <c r="L135" s="425"/>
      <c r="M135" s="467"/>
      <c r="N135" s="467"/>
      <c r="O135" s="467"/>
      <c r="P135" s="467"/>
      <c r="Q135" s="467"/>
      <c r="R135" s="468"/>
      <c r="S135" s="467"/>
      <c r="T135" s="607"/>
      <c r="U135" s="602"/>
      <c r="V135" s="602"/>
      <c r="W135" s="602"/>
      <c r="X135" s="609"/>
      <c r="Y135" s="602"/>
      <c r="Z135" s="603"/>
    </row>
    <row r="136" spans="1:26" ht="12.75">
      <c r="A136" s="393"/>
      <c r="B136" s="390"/>
      <c r="C136" s="390" t="s">
        <v>123</v>
      </c>
      <c r="D136" s="390"/>
      <c r="I136" s="425"/>
      <c r="J136" s="408">
        <f>'A.PESADO'!H28+'A.PESADO'!H30+'A.PESADO'!H31</f>
        <v>0</v>
      </c>
      <c r="K136" s="425">
        <v>2</v>
      </c>
      <c r="L136" s="425">
        <f aca="true" t="shared" si="20" ref="L136:L141">K136*(I136+J136)</f>
        <v>0</v>
      </c>
      <c r="M136" s="467">
        <f>C15</f>
        <v>3.333333333333333</v>
      </c>
      <c r="N136" s="467">
        <f aca="true" t="shared" si="21" ref="N136:N141">M136*L136</f>
        <v>0</v>
      </c>
      <c r="O136" s="467">
        <f>G17</f>
        <v>3.2142857142857144</v>
      </c>
      <c r="P136" s="467">
        <f aca="true" t="shared" si="22" ref="P136:P141">O136*L136</f>
        <v>0</v>
      </c>
      <c r="Q136" s="467">
        <f>Q94</f>
        <v>0.37</v>
      </c>
      <c r="R136" s="468">
        <v>0.6666666666666666</v>
      </c>
      <c r="S136" s="467">
        <f aca="true" t="shared" si="23" ref="S136:S141">L136*Q136*R136</f>
        <v>0</v>
      </c>
      <c r="T136" s="607"/>
      <c r="U136" s="602"/>
      <c r="V136" s="602"/>
      <c r="W136" s="609">
        <f>S136</f>
        <v>0</v>
      </c>
      <c r="X136" s="580"/>
      <c r="Y136" s="602"/>
      <c r="Z136" s="603"/>
    </row>
    <row r="137" spans="1:26" ht="12.75">
      <c r="A137" s="393"/>
      <c r="B137" s="390"/>
      <c r="C137" s="390" t="s">
        <v>448</v>
      </c>
      <c r="D137" s="390"/>
      <c r="I137" s="425"/>
      <c r="J137" s="408">
        <f>('A.PESADO'!H31*2)+('A.PESADO'!H33*2)</f>
        <v>0</v>
      </c>
      <c r="K137" s="425">
        <v>1</v>
      </c>
      <c r="L137" s="425">
        <f t="shared" si="20"/>
        <v>0</v>
      </c>
      <c r="M137" s="425">
        <f>M138</f>
        <v>3.333333333333333</v>
      </c>
      <c r="N137" s="467">
        <f t="shared" si="21"/>
        <v>0</v>
      </c>
      <c r="O137" s="425">
        <f>O138</f>
        <v>3.2142857142857144</v>
      </c>
      <c r="P137" s="467">
        <f t="shared" si="22"/>
        <v>0</v>
      </c>
      <c r="Q137" s="468">
        <f>Q134</f>
        <v>1.39</v>
      </c>
      <c r="R137" s="468">
        <v>0.6666666666666666</v>
      </c>
      <c r="S137" s="467">
        <f t="shared" si="23"/>
        <v>0</v>
      </c>
      <c r="T137" s="607"/>
      <c r="U137" s="602">
        <f>S137</f>
        <v>0</v>
      </c>
      <c r="V137" s="602"/>
      <c r="W137" s="609"/>
      <c r="X137" s="580"/>
      <c r="Y137" s="602"/>
      <c r="Z137" s="603"/>
    </row>
    <row r="138" spans="1:26" ht="12.75">
      <c r="A138" s="393"/>
      <c r="B138" s="390"/>
      <c r="C138" s="390" t="s">
        <v>125</v>
      </c>
      <c r="D138" s="390"/>
      <c r="I138" s="425"/>
      <c r="J138" s="408">
        <f>(2*('A.PESADO'!H18))+'A.PESADO'!H29+'A.PESADO'!H32+'A.PESADO'!H33</f>
        <v>0</v>
      </c>
      <c r="K138" s="425">
        <v>1</v>
      </c>
      <c r="L138" s="425">
        <f t="shared" si="20"/>
        <v>0</v>
      </c>
      <c r="M138" s="467">
        <f>C15</f>
        <v>3.333333333333333</v>
      </c>
      <c r="N138" s="467">
        <f t="shared" si="21"/>
        <v>0</v>
      </c>
      <c r="O138" s="467">
        <f>G17</f>
        <v>3.2142857142857144</v>
      </c>
      <c r="P138" s="467">
        <f t="shared" si="22"/>
        <v>0</v>
      </c>
      <c r="Q138" s="467">
        <f>Q134</f>
        <v>1.39</v>
      </c>
      <c r="R138" s="468">
        <v>0.8888888888888888</v>
      </c>
      <c r="S138" s="467">
        <f t="shared" si="23"/>
        <v>0</v>
      </c>
      <c r="T138" s="607"/>
      <c r="U138" s="609">
        <f>S138</f>
        <v>0</v>
      </c>
      <c r="V138" s="602"/>
      <c r="W138" s="602"/>
      <c r="X138" s="580"/>
      <c r="Y138" s="602"/>
      <c r="Z138" s="603"/>
    </row>
    <row r="139" spans="1:26" ht="12.75">
      <c r="A139" s="393"/>
      <c r="B139" s="390"/>
      <c r="C139" s="390" t="s">
        <v>449</v>
      </c>
      <c r="D139" s="390"/>
      <c r="I139" s="425"/>
      <c r="J139" s="408">
        <f>'A.PESADO'!H23</f>
        <v>0</v>
      </c>
      <c r="K139" s="425">
        <v>4</v>
      </c>
      <c r="L139" s="425">
        <f t="shared" si="20"/>
        <v>0</v>
      </c>
      <c r="M139" s="425">
        <f>M126</f>
        <v>1.6666666666666665</v>
      </c>
      <c r="N139" s="467">
        <f t="shared" si="21"/>
        <v>0</v>
      </c>
      <c r="O139" s="425">
        <f>O126</f>
        <v>1.7857142857142858</v>
      </c>
      <c r="P139" s="467">
        <f t="shared" si="22"/>
        <v>0</v>
      </c>
      <c r="Q139" s="425">
        <f>Q126</f>
        <v>0.43</v>
      </c>
      <c r="R139" s="468">
        <v>0.8888888888888888</v>
      </c>
      <c r="S139" s="467">
        <f t="shared" si="23"/>
        <v>0</v>
      </c>
      <c r="T139" s="607"/>
      <c r="U139" s="609">
        <f>S139*1/6</f>
        <v>0</v>
      </c>
      <c r="V139" s="602"/>
      <c r="W139" s="602">
        <f>S139*5/6</f>
        <v>0</v>
      </c>
      <c r="X139" s="580"/>
      <c r="Y139" s="602"/>
      <c r="Z139" s="603"/>
    </row>
    <row r="140" spans="1:26" ht="12.75">
      <c r="A140" s="393"/>
      <c r="B140" s="390"/>
      <c r="C140" s="390" t="s">
        <v>295</v>
      </c>
      <c r="D140" s="390"/>
      <c r="I140" s="425"/>
      <c r="J140" s="408">
        <f>'A.PESADO'!H23</f>
        <v>0</v>
      </c>
      <c r="K140" s="425">
        <v>1</v>
      </c>
      <c r="L140" s="425">
        <f t="shared" si="20"/>
        <v>0</v>
      </c>
      <c r="M140" s="425">
        <f>M125</f>
        <v>1.6666666666666665</v>
      </c>
      <c r="N140" s="467">
        <f t="shared" si="21"/>
        <v>0</v>
      </c>
      <c r="O140" s="425">
        <f>O125</f>
        <v>1.7857142857142858</v>
      </c>
      <c r="P140" s="467">
        <f t="shared" si="22"/>
        <v>0</v>
      </c>
      <c r="Q140" s="425">
        <f>Q125</f>
        <v>3.25</v>
      </c>
      <c r="R140" s="425">
        <v>0.6666666666666666</v>
      </c>
      <c r="S140" s="467">
        <f t="shared" si="23"/>
        <v>0</v>
      </c>
      <c r="T140" s="608">
        <f>S140</f>
        <v>0</v>
      </c>
      <c r="U140" s="609"/>
      <c r="V140" s="602"/>
      <c r="W140" s="602"/>
      <c r="X140" s="580"/>
      <c r="Y140" s="602"/>
      <c r="Z140" s="603"/>
    </row>
    <row r="141" spans="1:26" ht="12.75">
      <c r="A141" s="393"/>
      <c r="B141" s="390"/>
      <c r="C141" s="390" t="s">
        <v>452</v>
      </c>
      <c r="D141" s="390"/>
      <c r="I141" s="425"/>
      <c r="J141" s="408">
        <f>'A.PESADO'!H43</f>
        <v>0</v>
      </c>
      <c r="K141" s="425">
        <v>1</v>
      </c>
      <c r="L141" s="425">
        <f t="shared" si="20"/>
        <v>0</v>
      </c>
      <c r="M141" s="467">
        <f>M139</f>
        <v>1.6666666666666665</v>
      </c>
      <c r="N141" s="467">
        <f t="shared" si="21"/>
        <v>0</v>
      </c>
      <c r="O141" s="467">
        <f>O139</f>
        <v>1.7857142857142858</v>
      </c>
      <c r="P141" s="467">
        <f t="shared" si="22"/>
        <v>0</v>
      </c>
      <c r="Q141" s="467">
        <f>R14</f>
        <v>2.67</v>
      </c>
      <c r="R141" s="468">
        <v>0.6111111111111112</v>
      </c>
      <c r="S141" s="467">
        <f t="shared" si="23"/>
        <v>0</v>
      </c>
      <c r="T141" s="607"/>
      <c r="U141" s="609">
        <f>S141</f>
        <v>0</v>
      </c>
      <c r="V141" s="602"/>
      <c r="W141" s="602"/>
      <c r="X141" s="580"/>
      <c r="Y141" s="602"/>
      <c r="Z141" s="603"/>
    </row>
    <row r="142" spans="1:26" ht="13.5" thickBot="1">
      <c r="A142" s="393"/>
      <c r="B142" s="390"/>
      <c r="C142" s="390"/>
      <c r="D142" s="390"/>
      <c r="I142" s="425"/>
      <c r="J142" s="408"/>
      <c r="K142" s="425"/>
      <c r="L142" s="425"/>
      <c r="M142" s="467"/>
      <c r="N142" s="467"/>
      <c r="O142" s="467"/>
      <c r="P142" s="467"/>
      <c r="Q142" s="467"/>
      <c r="R142" s="468"/>
      <c r="S142" s="456"/>
      <c r="T142" s="615"/>
      <c r="U142" s="616"/>
      <c r="V142" s="617"/>
      <c r="W142" s="617"/>
      <c r="Y142" s="602"/>
      <c r="Z142" s="603"/>
    </row>
    <row r="143" spans="1:26" ht="13.5" thickBot="1">
      <c r="A143" s="389"/>
      <c r="B143" s="388" t="s">
        <v>18</v>
      </c>
      <c r="C143" s="398"/>
      <c r="D143" s="398"/>
      <c r="E143" s="398"/>
      <c r="F143" s="398"/>
      <c r="G143" s="398"/>
      <c r="H143" s="428"/>
      <c r="I143" s="381">
        <f>SUM(I144:I149)</f>
        <v>0</v>
      </c>
      <c r="J143" s="381">
        <f>SUM(J144:J149)</f>
        <v>0</v>
      </c>
      <c r="K143" s="381"/>
      <c r="L143" s="381">
        <f>SUM(L144:L149)</f>
        <v>0</v>
      </c>
      <c r="M143" s="436">
        <f>SUM(M144:M149)</f>
        <v>0</v>
      </c>
      <c r="N143" s="436">
        <f>SUM(N144:N149)</f>
        <v>0</v>
      </c>
      <c r="O143" s="436">
        <f>SUM(O144:O149)</f>
        <v>0</v>
      </c>
      <c r="P143" s="436">
        <f>SUM(P144:P149)</f>
        <v>0</v>
      </c>
      <c r="Q143" s="436"/>
      <c r="R143" s="436"/>
      <c r="S143" s="501">
        <f>SUM(S144:S149)</f>
        <v>0</v>
      </c>
      <c r="T143" s="601"/>
      <c r="U143" s="602"/>
      <c r="V143" s="602"/>
      <c r="W143" s="602"/>
      <c r="X143" s="609"/>
      <c r="Y143" s="602"/>
      <c r="Z143" s="603"/>
    </row>
    <row r="144" spans="1:26" ht="12.75">
      <c r="A144" s="393">
        <v>1</v>
      </c>
      <c r="B144" s="111"/>
      <c r="C144" s="390"/>
      <c r="D144" s="390"/>
      <c r="H144" s="415"/>
      <c r="I144" s="425"/>
      <c r="J144" s="408"/>
      <c r="K144" s="425"/>
      <c r="L144" s="425">
        <f aca="true" t="shared" si="24" ref="L144:L150">K144*(I144+J144)</f>
        <v>0</v>
      </c>
      <c r="M144" s="467"/>
      <c r="N144" s="467"/>
      <c r="O144" s="467"/>
      <c r="P144" s="467"/>
      <c r="Q144" s="467"/>
      <c r="R144" s="467"/>
      <c r="S144" s="468"/>
      <c r="T144" s="601"/>
      <c r="U144" s="602"/>
      <c r="V144" s="602"/>
      <c r="W144" s="602"/>
      <c r="X144" s="609"/>
      <c r="Y144" s="602"/>
      <c r="Z144" s="603"/>
    </row>
    <row r="145" spans="1:26" ht="12.75">
      <c r="A145" s="393">
        <v>2</v>
      </c>
      <c r="B145" s="111"/>
      <c r="C145" s="390"/>
      <c r="D145" s="390"/>
      <c r="H145" s="415"/>
      <c r="I145" s="425"/>
      <c r="J145" s="408"/>
      <c r="K145" s="425"/>
      <c r="L145" s="425">
        <f t="shared" si="24"/>
        <v>0</v>
      </c>
      <c r="M145" s="467"/>
      <c r="N145" s="467"/>
      <c r="O145" s="467"/>
      <c r="P145" s="467"/>
      <c r="Q145" s="467"/>
      <c r="R145" s="467"/>
      <c r="S145" s="468"/>
      <c r="T145" s="601"/>
      <c r="U145" s="602"/>
      <c r="V145" s="602"/>
      <c r="W145" s="602"/>
      <c r="X145" s="609"/>
      <c r="Y145" s="602"/>
      <c r="Z145" s="603"/>
    </row>
    <row r="146" spans="1:26" ht="12.75">
      <c r="A146" s="393">
        <v>3</v>
      </c>
      <c r="B146" s="111"/>
      <c r="C146" s="390"/>
      <c r="D146" s="390"/>
      <c r="I146" s="425"/>
      <c r="J146" s="408"/>
      <c r="K146" s="425"/>
      <c r="L146" s="425">
        <f t="shared" si="24"/>
        <v>0</v>
      </c>
      <c r="M146" s="467"/>
      <c r="N146" s="467"/>
      <c r="O146" s="467"/>
      <c r="P146" s="467"/>
      <c r="Q146" s="467"/>
      <c r="R146" s="467"/>
      <c r="S146" s="468"/>
      <c r="T146" s="601"/>
      <c r="U146" s="602"/>
      <c r="V146" s="602"/>
      <c r="W146" s="602"/>
      <c r="X146" s="609"/>
      <c r="Y146" s="602"/>
      <c r="Z146" s="603"/>
    </row>
    <row r="147" spans="1:26" ht="12.75">
      <c r="A147" s="393">
        <v>4</v>
      </c>
      <c r="B147" s="111"/>
      <c r="C147" s="390"/>
      <c r="D147" s="390"/>
      <c r="I147" s="425"/>
      <c r="J147" s="408"/>
      <c r="K147" s="425"/>
      <c r="L147" s="425">
        <f t="shared" si="24"/>
        <v>0</v>
      </c>
      <c r="M147" s="467"/>
      <c r="N147" s="467"/>
      <c r="O147" s="467"/>
      <c r="P147" s="467"/>
      <c r="Q147" s="467"/>
      <c r="R147" s="467"/>
      <c r="S147" s="468"/>
      <c r="T147" s="601"/>
      <c r="U147" s="602"/>
      <c r="V147" s="602"/>
      <c r="W147" s="602"/>
      <c r="X147" s="609"/>
      <c r="Y147" s="602"/>
      <c r="Z147" s="603"/>
    </row>
    <row r="148" spans="1:26" ht="12.75">
      <c r="A148" s="393">
        <v>5</v>
      </c>
      <c r="B148" s="111"/>
      <c r="C148" s="390"/>
      <c r="D148" s="390"/>
      <c r="I148" s="425"/>
      <c r="J148" s="408"/>
      <c r="K148" s="425"/>
      <c r="L148" s="425">
        <f t="shared" si="24"/>
        <v>0</v>
      </c>
      <c r="M148" s="467"/>
      <c r="N148" s="467"/>
      <c r="O148" s="467"/>
      <c r="P148" s="467"/>
      <c r="Q148" s="467"/>
      <c r="R148" s="467"/>
      <c r="S148" s="468"/>
      <c r="T148" s="601"/>
      <c r="U148" s="602"/>
      <c r="V148" s="602"/>
      <c r="W148" s="602"/>
      <c r="X148" s="609"/>
      <c r="Y148" s="602"/>
      <c r="Z148" s="603"/>
    </row>
    <row r="149" spans="1:26" ht="12.75">
      <c r="A149" s="393">
        <v>6</v>
      </c>
      <c r="B149" s="111"/>
      <c r="C149" s="390"/>
      <c r="D149" s="390"/>
      <c r="I149" s="425"/>
      <c r="J149" s="408"/>
      <c r="K149" s="425"/>
      <c r="L149" s="425">
        <f t="shared" si="24"/>
        <v>0</v>
      </c>
      <c r="M149" s="467"/>
      <c r="N149" s="467"/>
      <c r="O149" s="467"/>
      <c r="P149" s="467"/>
      <c r="Q149" s="467"/>
      <c r="R149" s="467"/>
      <c r="S149" s="468"/>
      <c r="T149" s="601"/>
      <c r="U149" s="602"/>
      <c r="V149" s="602"/>
      <c r="W149" s="602"/>
      <c r="X149" s="609"/>
      <c r="Y149" s="602"/>
      <c r="Z149" s="603"/>
    </row>
    <row r="150" spans="1:26" ht="13.5" thickBot="1">
      <c r="A150" s="394"/>
      <c r="B150" s="111"/>
      <c r="C150" s="390"/>
      <c r="D150" s="390"/>
      <c r="I150" s="425"/>
      <c r="J150" s="408"/>
      <c r="K150" s="425"/>
      <c r="L150" s="425">
        <f t="shared" si="24"/>
        <v>0</v>
      </c>
      <c r="M150" s="467"/>
      <c r="N150" s="467"/>
      <c r="O150" s="467"/>
      <c r="P150" s="467"/>
      <c r="Q150" s="467"/>
      <c r="R150" s="467"/>
      <c r="S150" s="468"/>
      <c r="T150" s="601"/>
      <c r="U150" s="602"/>
      <c r="V150" s="602"/>
      <c r="W150" s="602"/>
      <c r="X150" s="609"/>
      <c r="Y150" s="602"/>
      <c r="Z150" s="603"/>
    </row>
    <row r="151" spans="1:26" ht="13.5" thickBot="1">
      <c r="A151" s="389"/>
      <c r="B151" s="388" t="s">
        <v>1</v>
      </c>
      <c r="C151" s="398"/>
      <c r="D151" s="398"/>
      <c r="E151" s="398"/>
      <c r="F151" s="398"/>
      <c r="G151" s="398"/>
      <c r="H151" s="428"/>
      <c r="I151" s="381">
        <f>I58+I77+I89+I115+I128+I143</f>
        <v>0</v>
      </c>
      <c r="J151" s="381">
        <f>J58+J77+J89+J115+J128+J143</f>
        <v>0</v>
      </c>
      <c r="K151" s="381"/>
      <c r="L151" s="434">
        <f>L58+L77+L89+L115+L128+L143</f>
        <v>0</v>
      </c>
      <c r="M151" s="474">
        <f>M58+M77+M89+M115+M128+M143</f>
        <v>117.08333333333331</v>
      </c>
      <c r="N151" s="474">
        <f>N58+N77+N89+N115+N128+N143</f>
        <v>0</v>
      </c>
      <c r="O151" s="474">
        <f>O58+O77+O89+O115+O128+O143</f>
        <v>78.35714285714288</v>
      </c>
      <c r="P151" s="474">
        <f>P58+P77+P89+P115+P128+P143</f>
        <v>0</v>
      </c>
      <c r="Q151" s="474"/>
      <c r="R151" s="474"/>
      <c r="S151" s="618">
        <f>S58+S77+S89+S115+S128+S143</f>
        <v>0</v>
      </c>
      <c r="T151" s="619">
        <f aca="true" t="shared" si="25" ref="T151:Z151">SUM(T58:T150)</f>
        <v>0</v>
      </c>
      <c r="U151" s="619">
        <f t="shared" si="25"/>
        <v>0</v>
      </c>
      <c r="V151" s="619">
        <f t="shared" si="25"/>
        <v>0</v>
      </c>
      <c r="W151" s="619">
        <f t="shared" si="25"/>
        <v>0</v>
      </c>
      <c r="X151" s="619">
        <f t="shared" si="25"/>
        <v>0</v>
      </c>
      <c r="Y151" s="619">
        <f t="shared" si="25"/>
        <v>0</v>
      </c>
      <c r="Z151" s="619">
        <f t="shared" si="25"/>
        <v>0</v>
      </c>
    </row>
    <row r="152" spans="14:27" ht="13.5" thickBot="1">
      <c r="N152" s="436" t="e">
        <f>N151/L151</f>
        <v>#DIV/0!</v>
      </c>
      <c r="O152" s="591"/>
      <c r="P152" s="436" t="e">
        <f>P151/L151</f>
        <v>#DIV/0!</v>
      </c>
      <c r="S152" s="606">
        <f>(-0.00066548*S151*S151)+(0.1158*S151)-0.00004758</f>
        <v>-4.758E-05</v>
      </c>
      <c r="T152" s="413" t="e">
        <f aca="true" t="shared" si="26" ref="T152:Z152">(T151/$S$151)*100</f>
        <v>#DIV/0!</v>
      </c>
      <c r="U152" s="414" t="e">
        <f t="shared" si="26"/>
        <v>#DIV/0!</v>
      </c>
      <c r="V152" s="414" t="e">
        <f t="shared" si="26"/>
        <v>#DIV/0!</v>
      </c>
      <c r="W152" s="414" t="e">
        <f t="shared" si="26"/>
        <v>#DIV/0!</v>
      </c>
      <c r="X152" s="414" t="e">
        <f t="shared" si="26"/>
        <v>#DIV/0!</v>
      </c>
      <c r="Y152" s="414" t="e">
        <f t="shared" si="26"/>
        <v>#DIV/0!</v>
      </c>
      <c r="Z152" s="620" t="e">
        <f t="shared" si="26"/>
        <v>#DIV/0!</v>
      </c>
      <c r="AA152" s="368" t="s">
        <v>134</v>
      </c>
    </row>
    <row r="153" spans="4:26" ht="12.75">
      <c r="D153" s="435"/>
      <c r="E153" s="476"/>
      <c r="F153" s="477"/>
      <c r="G153" s="476"/>
      <c r="H153" s="477"/>
      <c r="I153" s="435"/>
      <c r="J153" s="435"/>
      <c r="K153" s="435"/>
      <c r="L153" s="435"/>
      <c r="M153" s="435"/>
      <c r="N153" s="129" t="s">
        <v>136</v>
      </c>
      <c r="O153" s="129"/>
      <c r="P153" s="129" t="s">
        <v>137</v>
      </c>
      <c r="S153" s="505" t="s">
        <v>135</v>
      </c>
      <c r="T153" s="505" t="s">
        <v>128</v>
      </c>
      <c r="U153" s="505" t="s">
        <v>129</v>
      </c>
      <c r="V153" s="505" t="s">
        <v>130</v>
      </c>
      <c r="W153" s="505" t="s">
        <v>131</v>
      </c>
      <c r="X153" s="505" t="s">
        <v>132</v>
      </c>
      <c r="Y153" s="505" t="s">
        <v>133</v>
      </c>
      <c r="Z153" s="505" t="s">
        <v>28</v>
      </c>
    </row>
  </sheetData>
  <mergeCells count="6">
    <mergeCell ref="I56:J56"/>
    <mergeCell ref="T56:Z56"/>
    <mergeCell ref="M56:N56"/>
    <mergeCell ref="O56:P56"/>
    <mergeCell ref="Q56:S56"/>
    <mergeCell ref="K56:L56"/>
  </mergeCells>
  <printOptions/>
  <pageMargins left="0.75" right="0.75" top="1" bottom="1" header="0" footer="0"/>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dimension ref="A1:AC214"/>
  <sheetViews>
    <sheetView zoomScale="85" zoomScaleNormal="85" workbookViewId="0" topLeftCell="O97">
      <selection activeCell="Z1" sqref="A1:Z16384"/>
    </sheetView>
  </sheetViews>
  <sheetFormatPr defaultColWidth="11.421875" defaultRowHeight="12.75"/>
  <cols>
    <col min="1" max="1" width="5.421875" style="368" customWidth="1"/>
    <col min="2" max="2" width="11.421875" style="368" customWidth="1"/>
    <col min="3" max="3" width="8.28125" style="368" customWidth="1"/>
    <col min="4" max="4" width="6.57421875" style="368" customWidth="1"/>
    <col min="5" max="5" width="6.8515625" style="368" customWidth="1"/>
    <col min="6" max="6" width="11.421875" style="368" customWidth="1"/>
    <col min="7" max="7" width="7.7109375" style="368" customWidth="1"/>
    <col min="8" max="8" width="7.140625" style="368" customWidth="1"/>
    <col min="9" max="14" width="11.421875" style="368" customWidth="1"/>
    <col min="15" max="15" width="8.28125" style="368" customWidth="1"/>
    <col min="16" max="16" width="11.421875" style="368" customWidth="1"/>
    <col min="17" max="17" width="9.00390625" style="368" customWidth="1"/>
    <col min="18" max="18" width="8.28125" style="368" customWidth="1"/>
    <col min="19" max="19" width="11.00390625" style="368" customWidth="1"/>
    <col min="20" max="26" width="4.7109375" style="368" customWidth="1"/>
  </cols>
  <sheetData>
    <row r="1" spans="1:26" s="13" customFormat="1" ht="18.75" thickBot="1">
      <c r="A1" s="389"/>
      <c r="B1" s="397" t="s">
        <v>145</v>
      </c>
      <c r="C1" s="398"/>
      <c r="D1" s="398"/>
      <c r="E1" s="398"/>
      <c r="F1" s="398"/>
      <c r="G1" s="398"/>
      <c r="H1" s="398"/>
      <c r="I1" s="398"/>
      <c r="J1" s="398"/>
      <c r="K1" s="398"/>
      <c r="L1" s="398"/>
      <c r="M1" s="398"/>
      <c r="N1" s="398"/>
      <c r="O1" s="398"/>
      <c r="P1" s="398"/>
      <c r="Q1" s="398"/>
      <c r="R1" s="398"/>
      <c r="S1" s="398"/>
      <c r="T1" s="398"/>
      <c r="U1" s="398"/>
      <c r="V1" s="398"/>
      <c r="W1" s="398"/>
      <c r="X1" s="398"/>
      <c r="Y1" s="398"/>
      <c r="Z1" s="398"/>
    </row>
    <row r="2" spans="1:29" s="16" customFormat="1" ht="20.25">
      <c r="A2" s="390"/>
      <c r="B2" s="399"/>
      <c r="C2" s="390"/>
      <c r="D2" s="390"/>
      <c r="E2" s="390"/>
      <c r="F2" s="390"/>
      <c r="G2" s="390"/>
      <c r="H2" s="390"/>
      <c r="I2" s="390"/>
      <c r="J2" s="390"/>
      <c r="K2" s="390"/>
      <c r="L2" s="390"/>
      <c r="M2" s="390"/>
      <c r="N2" s="390"/>
      <c r="O2" s="128"/>
      <c r="P2" s="390"/>
      <c r="Q2" s="390"/>
      <c r="R2" s="390"/>
      <c r="S2" s="390"/>
      <c r="T2" s="390"/>
      <c r="U2" s="390"/>
      <c r="V2" s="390"/>
      <c r="W2" s="390"/>
      <c r="X2" s="390"/>
      <c r="Y2" s="390"/>
      <c r="Z2" s="390"/>
      <c r="AA2" s="77"/>
      <c r="AB2" s="77"/>
      <c r="AC2" s="77"/>
    </row>
    <row r="3" spans="16:29" ht="12.75">
      <c r="P3" s="129"/>
      <c r="Q3" s="129"/>
      <c r="AA3" s="76"/>
      <c r="AB3" s="76"/>
      <c r="AC3" s="76"/>
    </row>
    <row r="4" spans="16:29" ht="12.75">
      <c r="P4" s="115"/>
      <c r="Q4" s="115"/>
      <c r="R4" s="390"/>
      <c r="AA4" s="76"/>
      <c r="AB4" s="76"/>
      <c r="AC4" s="76"/>
    </row>
    <row r="5" spans="2:29" ht="15.75">
      <c r="B5" s="129" t="s">
        <v>47</v>
      </c>
      <c r="F5" s="400"/>
      <c r="G5" s="400"/>
      <c r="I5" s="401"/>
      <c r="J5" s="401"/>
      <c r="K5" s="401"/>
      <c r="L5" s="401"/>
      <c r="P5" s="115"/>
      <c r="Q5" s="115"/>
      <c r="R5" s="390"/>
      <c r="AA5" s="76"/>
      <c r="AB5" s="76"/>
      <c r="AC5" s="76"/>
    </row>
    <row r="6" spans="2:29" ht="12.75">
      <c r="B6" s="571"/>
      <c r="C6" s="572"/>
      <c r="D6" s="573" t="s">
        <v>48</v>
      </c>
      <c r="E6" s="574" t="s">
        <v>49</v>
      </c>
      <c r="F6" s="574" t="s">
        <v>50</v>
      </c>
      <c r="G6" s="575" t="s">
        <v>51</v>
      </c>
      <c r="I6" s="401"/>
      <c r="J6" s="401"/>
      <c r="K6" s="401"/>
      <c r="L6" s="401"/>
      <c r="P6" s="115"/>
      <c r="Q6" s="115"/>
      <c r="R6" s="390"/>
      <c r="AA6" s="76"/>
      <c r="AB6" s="76"/>
      <c r="AC6" s="76"/>
    </row>
    <row r="7" spans="2:29" ht="12.75">
      <c r="B7" s="576" t="s">
        <v>52</v>
      </c>
      <c r="C7" s="577"/>
      <c r="D7" s="534">
        <v>1</v>
      </c>
      <c r="E7" s="534">
        <v>1</v>
      </c>
      <c r="F7" s="534">
        <v>1</v>
      </c>
      <c r="G7" s="534" t="s">
        <v>53</v>
      </c>
      <c r="I7" s="401"/>
      <c r="J7" s="401"/>
      <c r="K7" s="401"/>
      <c r="L7" s="401"/>
      <c r="P7" s="115"/>
      <c r="Q7" s="115"/>
      <c r="R7" s="390"/>
      <c r="AA7" s="76"/>
      <c r="AB7" s="76"/>
      <c r="AC7" s="76"/>
    </row>
    <row r="8" spans="16:29" ht="12.75">
      <c r="P8" s="115"/>
      <c r="Q8" s="115"/>
      <c r="R8" s="390"/>
      <c r="AA8" s="76"/>
      <c r="AB8" s="76"/>
      <c r="AC8" s="76"/>
    </row>
    <row r="9" spans="2:29" ht="12.75">
      <c r="B9" s="129" t="s">
        <v>54</v>
      </c>
      <c r="F9" s="129" t="s">
        <v>55</v>
      </c>
      <c r="J9" s="129" t="s">
        <v>147</v>
      </c>
      <c r="P9" s="115"/>
      <c r="Q9" s="115"/>
      <c r="R9" s="390"/>
      <c r="AA9" s="76"/>
      <c r="AB9" s="76"/>
      <c r="AC9" s="76"/>
    </row>
    <row r="10" spans="2:29" ht="12.75">
      <c r="B10" s="578" t="s">
        <v>57</v>
      </c>
      <c r="F10" s="578" t="s">
        <v>58</v>
      </c>
      <c r="P10" s="115"/>
      <c r="Q10" s="115"/>
      <c r="R10" s="390"/>
      <c r="AA10" s="76"/>
      <c r="AB10" s="76"/>
      <c r="AC10" s="76"/>
    </row>
    <row r="11" spans="2:29" ht="12.75">
      <c r="B11" s="579" t="s">
        <v>59</v>
      </c>
      <c r="C11" s="580"/>
      <c r="F11" s="579" t="s">
        <v>60</v>
      </c>
      <c r="G11" s="580"/>
      <c r="J11" s="113"/>
      <c r="K11" s="390"/>
      <c r="L11" s="401"/>
      <c r="Q11" s="115"/>
      <c r="R11" s="390"/>
      <c r="AA11" s="76"/>
      <c r="AB11" s="76"/>
      <c r="AC11" s="76"/>
    </row>
    <row r="12" spans="2:29" ht="13.5" thickBot="1">
      <c r="B12" s="574" t="s">
        <v>62</v>
      </c>
      <c r="C12" s="574" t="s">
        <v>63</v>
      </c>
      <c r="F12" s="574" t="s">
        <v>62</v>
      </c>
      <c r="G12" s="574" t="s">
        <v>63</v>
      </c>
      <c r="J12" s="129" t="s">
        <v>146</v>
      </c>
      <c r="K12" s="401"/>
      <c r="L12" s="401"/>
      <c r="M12" s="401"/>
      <c r="N12" s="373" t="s">
        <v>153</v>
      </c>
      <c r="O12" s="410"/>
      <c r="P12" s="407"/>
      <c r="Q12" s="129" t="s">
        <v>149</v>
      </c>
      <c r="R12" s="621"/>
      <c r="AA12" s="76"/>
      <c r="AB12" s="76"/>
      <c r="AC12" s="76"/>
    </row>
    <row r="13" spans="2:29" ht="13.5" thickBot="1">
      <c r="B13" s="534" t="s">
        <v>65</v>
      </c>
      <c r="C13" s="582">
        <v>5</v>
      </c>
      <c r="F13" s="534">
        <v>210</v>
      </c>
      <c r="G13" s="582">
        <v>5</v>
      </c>
      <c r="K13" s="477" t="s">
        <v>179</v>
      </c>
      <c r="L13" s="403"/>
      <c r="M13" s="404"/>
      <c r="N13" s="451"/>
      <c r="O13" s="449" t="s">
        <v>179</v>
      </c>
      <c r="P13" s="403"/>
      <c r="Q13" s="347" t="s">
        <v>61</v>
      </c>
      <c r="R13" s="348" t="s">
        <v>0</v>
      </c>
      <c r="AA13" s="76"/>
      <c r="AB13" s="76"/>
      <c r="AC13" s="76"/>
    </row>
    <row r="14" spans="2:29" ht="13.5" thickBot="1">
      <c r="B14" s="534">
        <v>150</v>
      </c>
      <c r="C14" s="582">
        <v>4.166666666666667</v>
      </c>
      <c r="F14" s="534">
        <v>180</v>
      </c>
      <c r="G14" s="582">
        <v>4.285714285714286</v>
      </c>
      <c r="J14" s="347" t="s">
        <v>61</v>
      </c>
      <c r="K14" s="348" t="s">
        <v>0</v>
      </c>
      <c r="L14" s="427"/>
      <c r="N14" s="347" t="s">
        <v>61</v>
      </c>
      <c r="O14" s="348" t="s">
        <v>0</v>
      </c>
      <c r="P14" s="412"/>
      <c r="Q14" s="442">
        <v>10</v>
      </c>
      <c r="R14" s="443">
        <v>3.24</v>
      </c>
      <c r="AA14" s="76"/>
      <c r="AB14" s="76"/>
      <c r="AC14" s="76"/>
    </row>
    <row r="15" spans="2:29" ht="12.75">
      <c r="B15" s="534">
        <v>120</v>
      </c>
      <c r="C15" s="582">
        <v>3.333333333333333</v>
      </c>
      <c r="F15" s="534">
        <v>165</v>
      </c>
      <c r="G15" s="582">
        <v>3.9285714285714284</v>
      </c>
      <c r="J15" s="442">
        <v>10</v>
      </c>
      <c r="K15" s="443">
        <v>2.96</v>
      </c>
      <c r="L15" s="467"/>
      <c r="N15" s="442">
        <v>10</v>
      </c>
      <c r="O15" s="443">
        <v>2.96</v>
      </c>
      <c r="P15" s="453"/>
      <c r="Q15" s="442">
        <v>9</v>
      </c>
      <c r="R15" s="443">
        <v>3.04</v>
      </c>
      <c r="AA15" s="76"/>
      <c r="AB15" s="76"/>
      <c r="AC15" s="76"/>
    </row>
    <row r="16" spans="2:29" ht="12.75">
      <c r="B16" s="534">
        <v>90</v>
      </c>
      <c r="C16" s="582">
        <v>2.5</v>
      </c>
      <c r="F16" s="534">
        <v>150</v>
      </c>
      <c r="G16" s="582">
        <v>3.5714285714285716</v>
      </c>
      <c r="J16" s="442">
        <v>9</v>
      </c>
      <c r="K16" s="443">
        <v>2.5</v>
      </c>
      <c r="L16" s="467"/>
      <c r="N16" s="442">
        <v>9</v>
      </c>
      <c r="O16" s="443">
        <v>2.5</v>
      </c>
      <c r="P16" s="454"/>
      <c r="Q16" s="442">
        <v>8</v>
      </c>
      <c r="R16" s="443">
        <v>2.67</v>
      </c>
      <c r="AA16" s="76"/>
      <c r="AB16" s="76"/>
      <c r="AC16" s="76"/>
    </row>
    <row r="17" spans="2:29" ht="12.75">
      <c r="B17" s="534">
        <v>75</v>
      </c>
      <c r="C17" s="582">
        <v>2.0833333333333335</v>
      </c>
      <c r="F17" s="534">
        <v>135</v>
      </c>
      <c r="G17" s="582">
        <v>3.2142857142857144</v>
      </c>
      <c r="J17" s="442">
        <v>8</v>
      </c>
      <c r="K17" s="443">
        <v>1.94</v>
      </c>
      <c r="L17" s="467"/>
      <c r="N17" s="442">
        <v>8</v>
      </c>
      <c r="O17" s="443">
        <v>2.08</v>
      </c>
      <c r="P17" s="454"/>
      <c r="Q17" s="442">
        <v>7</v>
      </c>
      <c r="R17" s="443">
        <v>2.11</v>
      </c>
      <c r="AA17" s="76"/>
      <c r="AB17" s="76"/>
      <c r="AC17" s="76"/>
    </row>
    <row r="18" spans="2:29" ht="12.75">
      <c r="B18" s="534">
        <v>60</v>
      </c>
      <c r="C18" s="582">
        <v>1.6666666666666665</v>
      </c>
      <c r="F18" s="534">
        <v>120</v>
      </c>
      <c r="G18" s="582">
        <v>2.8571428571428568</v>
      </c>
      <c r="J18" s="442">
        <v>7</v>
      </c>
      <c r="K18" s="443">
        <v>1.39</v>
      </c>
      <c r="L18" s="467"/>
      <c r="N18" s="442">
        <v>7</v>
      </c>
      <c r="O18" s="443">
        <v>1.53</v>
      </c>
      <c r="P18" s="454"/>
      <c r="Q18" s="442">
        <v>6</v>
      </c>
      <c r="R18" s="443">
        <v>1.37</v>
      </c>
      <c r="AA18" s="76"/>
      <c r="AB18" s="76"/>
      <c r="AC18" s="76"/>
    </row>
    <row r="19" spans="2:29" ht="12.75">
      <c r="B19" s="534">
        <v>45</v>
      </c>
      <c r="C19" s="582">
        <v>1.25</v>
      </c>
      <c r="F19" s="534">
        <v>105</v>
      </c>
      <c r="G19" s="582">
        <v>2.5</v>
      </c>
      <c r="J19" s="442">
        <v>6</v>
      </c>
      <c r="K19" s="443">
        <v>0.83</v>
      </c>
      <c r="L19" s="467"/>
      <c r="N19" s="442">
        <v>6</v>
      </c>
      <c r="O19" s="443">
        <v>1.06</v>
      </c>
      <c r="P19" s="454"/>
      <c r="Q19" s="442">
        <v>5</v>
      </c>
      <c r="R19" s="443">
        <v>0.65</v>
      </c>
      <c r="AA19" s="76"/>
      <c r="AB19" s="76"/>
      <c r="AC19" s="76"/>
    </row>
    <row r="20" spans="2:29" ht="13.5" thickBot="1">
      <c r="B20" s="534">
        <v>30</v>
      </c>
      <c r="C20" s="582">
        <v>0.8333333333333333</v>
      </c>
      <c r="F20" s="534">
        <v>90</v>
      </c>
      <c r="G20" s="582">
        <v>2.142857142857143</v>
      </c>
      <c r="J20" s="442">
        <v>5</v>
      </c>
      <c r="K20" s="443">
        <v>0.37</v>
      </c>
      <c r="L20" s="467"/>
      <c r="N20" s="442">
        <v>5</v>
      </c>
      <c r="O20" s="443">
        <v>0.62</v>
      </c>
      <c r="P20" s="454"/>
      <c r="Q20" s="444">
        <v>4</v>
      </c>
      <c r="R20" s="445">
        <v>0.17</v>
      </c>
      <c r="AA20" s="76"/>
      <c r="AB20" s="76"/>
      <c r="AC20" s="76"/>
    </row>
    <row r="21" spans="2:29" ht="13.5" thickBot="1">
      <c r="B21" s="534" t="s">
        <v>73</v>
      </c>
      <c r="C21" s="582" t="s">
        <v>74</v>
      </c>
      <c r="F21" s="534">
        <v>75</v>
      </c>
      <c r="G21" s="582">
        <v>1.7857142857142858</v>
      </c>
      <c r="J21" s="444">
        <v>4</v>
      </c>
      <c r="K21" s="445">
        <v>0.09</v>
      </c>
      <c r="L21" s="467"/>
      <c r="N21" s="442">
        <v>4</v>
      </c>
      <c r="O21" s="443">
        <v>0.43</v>
      </c>
      <c r="P21" s="454"/>
      <c r="AA21" s="76"/>
      <c r="AB21" s="76"/>
      <c r="AC21" s="76"/>
    </row>
    <row r="22" spans="2:29" ht="13.5" thickBot="1">
      <c r="B22" s="534" t="s">
        <v>75</v>
      </c>
      <c r="C22" s="534">
        <v>0</v>
      </c>
      <c r="F22" s="534">
        <v>60</v>
      </c>
      <c r="G22" s="582">
        <v>1.4285714285714284</v>
      </c>
      <c r="J22" s="508"/>
      <c r="K22" s="456"/>
      <c r="L22" s="456"/>
      <c r="N22" s="444">
        <v>3</v>
      </c>
      <c r="O22" s="445">
        <v>0.28</v>
      </c>
      <c r="P22" s="454"/>
      <c r="Q22" s="477" t="s">
        <v>150</v>
      </c>
      <c r="R22" s="621"/>
      <c r="AA22" s="76"/>
      <c r="AB22" s="76"/>
      <c r="AC22" s="76"/>
    </row>
    <row r="23" spans="2:29" ht="13.5" thickBot="1">
      <c r="B23" s="578" t="s">
        <v>77</v>
      </c>
      <c r="F23" s="534">
        <v>45</v>
      </c>
      <c r="G23" s="582">
        <v>1.0714285714285714</v>
      </c>
      <c r="J23" s="111" t="s">
        <v>148</v>
      </c>
      <c r="K23" s="435"/>
      <c r="L23" s="407"/>
      <c r="N23" s="425"/>
      <c r="O23" s="467"/>
      <c r="P23" s="454"/>
      <c r="Q23" s="347" t="s">
        <v>61</v>
      </c>
      <c r="R23" s="348" t="s">
        <v>0</v>
      </c>
      <c r="AA23" s="76"/>
      <c r="AB23" s="76"/>
      <c r="AC23" s="76"/>
    </row>
    <row r="24" spans="6:29" ht="13.5" thickBot="1">
      <c r="F24" s="534" t="s">
        <v>78</v>
      </c>
      <c r="G24" s="534">
        <v>1</v>
      </c>
      <c r="J24" s="381" t="s">
        <v>61</v>
      </c>
      <c r="K24" s="348" t="s">
        <v>0</v>
      </c>
      <c r="N24" s="129" t="s">
        <v>155</v>
      </c>
      <c r="O24" s="621"/>
      <c r="P24" s="455"/>
      <c r="Q24" s="442">
        <v>10</v>
      </c>
      <c r="R24" s="443">
        <v>4.07</v>
      </c>
      <c r="AA24" s="76"/>
      <c r="AB24" s="76"/>
      <c r="AC24" s="76"/>
    </row>
    <row r="25" spans="6:29" ht="13.5" thickBot="1">
      <c r="F25" s="534">
        <v>30</v>
      </c>
      <c r="G25" s="582">
        <v>0.7142857142857142</v>
      </c>
      <c r="J25" s="352">
        <v>10</v>
      </c>
      <c r="K25" s="384">
        <v>3.75</v>
      </c>
      <c r="L25" s="477"/>
      <c r="M25" s="403"/>
      <c r="N25" s="351" t="s">
        <v>61</v>
      </c>
      <c r="O25" s="348" t="s">
        <v>0</v>
      </c>
      <c r="Q25" s="442">
        <v>9</v>
      </c>
      <c r="R25" s="443">
        <v>3.83</v>
      </c>
      <c r="AA25" s="76"/>
      <c r="AB25" s="76"/>
      <c r="AC25" s="76"/>
    </row>
    <row r="26" spans="6:29" ht="13.5" thickBot="1">
      <c r="F26" s="534" t="s">
        <v>81</v>
      </c>
      <c r="G26" s="582">
        <v>0.5</v>
      </c>
      <c r="J26" s="352">
        <v>9</v>
      </c>
      <c r="K26" s="384">
        <v>3.19</v>
      </c>
      <c r="L26" s="460"/>
      <c r="M26" s="460"/>
      <c r="N26" s="351" t="s">
        <v>154</v>
      </c>
      <c r="O26" s="350">
        <v>1.67</v>
      </c>
      <c r="Q26" s="442">
        <v>8</v>
      </c>
      <c r="R26" s="443">
        <v>3.4</v>
      </c>
      <c r="AA26" s="76"/>
      <c r="AB26" s="76"/>
      <c r="AC26" s="76"/>
    </row>
    <row r="27" spans="6:29" ht="12.75">
      <c r="F27" s="534" t="s">
        <v>75</v>
      </c>
      <c r="G27" s="534">
        <v>0</v>
      </c>
      <c r="J27" s="352">
        <v>8</v>
      </c>
      <c r="K27" s="384">
        <v>2.5</v>
      </c>
      <c r="L27" s="510"/>
      <c r="M27" s="511"/>
      <c r="Q27" s="442">
        <v>7</v>
      </c>
      <c r="R27" s="443">
        <v>2.72</v>
      </c>
      <c r="AA27" s="76"/>
      <c r="AB27" s="76"/>
      <c r="AC27" s="76"/>
    </row>
    <row r="28" spans="6:29" ht="13.5" thickBot="1">
      <c r="F28" s="578" t="s">
        <v>77</v>
      </c>
      <c r="J28" s="352">
        <v>7</v>
      </c>
      <c r="K28" s="384">
        <v>1.81</v>
      </c>
      <c r="L28" s="510"/>
      <c r="M28" s="510"/>
      <c r="N28" s="622" t="s">
        <v>151</v>
      </c>
      <c r="O28" s="622"/>
      <c r="Q28" s="442">
        <v>6</v>
      </c>
      <c r="R28" s="443">
        <v>1.82</v>
      </c>
      <c r="AA28" s="76"/>
      <c r="AB28" s="76"/>
      <c r="AC28" s="76"/>
    </row>
    <row r="29" spans="10:29" ht="13.5" thickBot="1">
      <c r="J29" s="352">
        <v>6</v>
      </c>
      <c r="K29" s="384">
        <v>1.11</v>
      </c>
      <c r="L29" s="439"/>
      <c r="M29" s="439"/>
      <c r="N29" s="351" t="s">
        <v>61</v>
      </c>
      <c r="O29" s="348" t="s">
        <v>0</v>
      </c>
      <c r="Q29" s="442">
        <v>5</v>
      </c>
      <c r="R29" s="443">
        <v>0.89</v>
      </c>
      <c r="AA29" s="76"/>
      <c r="AB29" s="76"/>
      <c r="AC29" s="76"/>
    </row>
    <row r="30" spans="2:29" ht="13.5" thickBot="1">
      <c r="B30" s="129" t="s">
        <v>83</v>
      </c>
      <c r="J30" s="352">
        <v>5</v>
      </c>
      <c r="K30" s="384">
        <v>0.51</v>
      </c>
      <c r="N30" s="411">
        <v>10</v>
      </c>
      <c r="O30" s="443">
        <v>3.32</v>
      </c>
      <c r="P30" s="115"/>
      <c r="Q30" s="444">
        <v>4</v>
      </c>
      <c r="R30" s="445">
        <v>0.25</v>
      </c>
      <c r="AA30" s="76"/>
      <c r="AB30" s="76"/>
      <c r="AC30" s="76"/>
    </row>
    <row r="31" spans="10:29" ht="13.5" thickBot="1">
      <c r="J31" s="349">
        <v>4</v>
      </c>
      <c r="K31" s="350">
        <v>0.14</v>
      </c>
      <c r="N31" s="352">
        <v>9</v>
      </c>
      <c r="O31" s="443">
        <v>3.26</v>
      </c>
      <c r="P31" s="115"/>
      <c r="Q31" s="115"/>
      <c r="R31" s="390"/>
      <c r="AA31" s="76"/>
      <c r="AB31" s="76"/>
      <c r="AC31" s="76"/>
    </row>
    <row r="32" spans="2:29" ht="13.5" thickBot="1">
      <c r="B32" s="129" t="s">
        <v>84</v>
      </c>
      <c r="E32" s="129" t="s">
        <v>85</v>
      </c>
      <c r="H32" s="477" t="s">
        <v>100</v>
      </c>
      <c r="K32" s="477" t="s">
        <v>101</v>
      </c>
      <c r="N32" s="352">
        <v>8</v>
      </c>
      <c r="O32" s="443">
        <v>3.12</v>
      </c>
      <c r="P32" s="115"/>
      <c r="Q32" s="129" t="s">
        <v>156</v>
      </c>
      <c r="R32" s="621"/>
      <c r="AA32" s="76"/>
      <c r="AB32" s="76"/>
      <c r="AC32" s="76"/>
    </row>
    <row r="33" spans="2:29" ht="13.5" thickBot="1">
      <c r="B33" s="435" t="s">
        <v>86</v>
      </c>
      <c r="C33" s="435" t="s">
        <v>0</v>
      </c>
      <c r="D33" s="113"/>
      <c r="E33" s="435" t="s">
        <v>86</v>
      </c>
      <c r="F33" s="435" t="s">
        <v>0</v>
      </c>
      <c r="G33" s="113"/>
      <c r="H33" s="435" t="s">
        <v>86</v>
      </c>
      <c r="I33" s="435" t="s">
        <v>0</v>
      </c>
      <c r="J33" s="435"/>
      <c r="K33" s="435" t="s">
        <v>86</v>
      </c>
      <c r="L33" s="435" t="s">
        <v>0</v>
      </c>
      <c r="M33" s="113"/>
      <c r="N33" s="352">
        <v>7</v>
      </c>
      <c r="O33" s="443">
        <v>2.89</v>
      </c>
      <c r="P33" s="115"/>
      <c r="Q33" s="347" t="s">
        <v>61</v>
      </c>
      <c r="R33" s="348" t="s">
        <v>0</v>
      </c>
      <c r="AA33" s="76"/>
      <c r="AB33" s="76"/>
      <c r="AC33" s="76"/>
    </row>
    <row r="34" spans="2:29" ht="12.75">
      <c r="B34" s="583" t="s">
        <v>87</v>
      </c>
      <c r="C34" s="531">
        <v>1</v>
      </c>
      <c r="D34" s="415"/>
      <c r="E34" s="531" t="s">
        <v>102</v>
      </c>
      <c r="F34" s="584">
        <v>0.99976661332114</v>
      </c>
      <c r="G34" s="415"/>
      <c r="H34" s="531" t="s">
        <v>102</v>
      </c>
      <c r="I34" s="584">
        <v>0.99976661332114</v>
      </c>
      <c r="J34" s="407"/>
      <c r="K34" s="531" t="s">
        <v>88</v>
      </c>
      <c r="L34" s="584">
        <v>0.8331388444342834</v>
      </c>
      <c r="M34" s="415"/>
      <c r="N34" s="352">
        <v>6</v>
      </c>
      <c r="O34" s="443">
        <v>2.56</v>
      </c>
      <c r="P34" s="115"/>
      <c r="Q34" s="442">
        <v>10</v>
      </c>
      <c r="R34" s="443">
        <v>2.96</v>
      </c>
      <c r="AA34" s="76"/>
      <c r="AB34" s="76"/>
      <c r="AC34" s="76"/>
    </row>
    <row r="35" spans="2:29" ht="12.75">
      <c r="B35" s="531">
        <v>10</v>
      </c>
      <c r="C35" s="584">
        <v>0.9722222222222223</v>
      </c>
      <c r="D35" s="415"/>
      <c r="E35" s="531" t="s">
        <v>103</v>
      </c>
      <c r="F35" s="584">
        <v>0.9915980795610425</v>
      </c>
      <c r="G35" s="415"/>
      <c r="H35" s="531">
        <v>10</v>
      </c>
      <c r="I35" s="584">
        <v>0.9915980795610425</v>
      </c>
      <c r="J35" s="407"/>
      <c r="K35" s="531" t="s">
        <v>89</v>
      </c>
      <c r="L35" s="584">
        <v>0.8263317329675355</v>
      </c>
      <c r="M35" s="415"/>
      <c r="N35" s="352">
        <v>5</v>
      </c>
      <c r="O35" s="443">
        <v>2.15</v>
      </c>
      <c r="P35" s="115"/>
      <c r="Q35" s="442">
        <v>9</v>
      </c>
      <c r="R35" s="443">
        <v>2.5</v>
      </c>
      <c r="AA35" s="76"/>
      <c r="AB35" s="76"/>
      <c r="AC35" s="76"/>
    </row>
    <row r="36" spans="2:29" ht="12.75">
      <c r="B36" s="531" t="s">
        <v>90</v>
      </c>
      <c r="C36" s="584">
        <v>0.9444444444444444</v>
      </c>
      <c r="D36" s="415"/>
      <c r="E36" s="531">
        <v>10</v>
      </c>
      <c r="F36" s="584">
        <v>0.9814814814814814</v>
      </c>
      <c r="G36" s="415"/>
      <c r="H36" s="531" t="s">
        <v>103</v>
      </c>
      <c r="I36" s="584">
        <v>0.9814814814814814</v>
      </c>
      <c r="J36" s="407"/>
      <c r="K36" s="531">
        <v>10</v>
      </c>
      <c r="L36" s="584">
        <v>0.8179012345679012</v>
      </c>
      <c r="M36" s="415"/>
      <c r="N36" s="352">
        <v>4</v>
      </c>
      <c r="O36" s="443">
        <v>1.67</v>
      </c>
      <c r="P36" s="115"/>
      <c r="Q36" s="442">
        <v>8</v>
      </c>
      <c r="R36" s="443">
        <v>1.94</v>
      </c>
      <c r="AA36" s="76"/>
      <c r="AB36" s="76"/>
      <c r="AC36" s="76"/>
    </row>
    <row r="37" spans="2:29" ht="12.75">
      <c r="B37" s="531">
        <v>8</v>
      </c>
      <c r="C37" s="584">
        <v>0.9166666666666667</v>
      </c>
      <c r="D37" s="415"/>
      <c r="E37" s="531" t="s">
        <v>104</v>
      </c>
      <c r="F37" s="584">
        <v>0.9814814814814815</v>
      </c>
      <c r="G37" s="415"/>
      <c r="H37" s="551" t="s">
        <v>104</v>
      </c>
      <c r="I37" s="584">
        <v>0.9814814814814815</v>
      </c>
      <c r="J37" s="407"/>
      <c r="K37" s="531" t="s">
        <v>91</v>
      </c>
      <c r="L37" s="584">
        <v>0.8179012345679013</v>
      </c>
      <c r="M37" s="415"/>
      <c r="N37" s="352">
        <v>3</v>
      </c>
      <c r="O37" s="443">
        <v>1.19</v>
      </c>
      <c r="P37" s="115"/>
      <c r="Q37" s="442">
        <v>7</v>
      </c>
      <c r="R37" s="443">
        <v>1.39</v>
      </c>
      <c r="AA37" s="76"/>
      <c r="AB37" s="76"/>
      <c r="AC37" s="76"/>
    </row>
    <row r="38" spans="2:29" ht="12.75">
      <c r="B38" s="531" t="s">
        <v>92</v>
      </c>
      <c r="C38" s="584">
        <v>0.8888888888888888</v>
      </c>
      <c r="D38" s="415"/>
      <c r="E38" s="531" t="s">
        <v>105</v>
      </c>
      <c r="F38" s="584">
        <v>0.948559670781893</v>
      </c>
      <c r="G38" s="415"/>
      <c r="H38" s="561" t="s">
        <v>105</v>
      </c>
      <c r="I38" s="584">
        <v>0.948559670781893</v>
      </c>
      <c r="J38" s="407"/>
      <c r="K38" s="531" t="s">
        <v>93</v>
      </c>
      <c r="L38" s="584">
        <v>0.7904663923182441</v>
      </c>
      <c r="M38" s="415"/>
      <c r="N38" s="352">
        <v>2</v>
      </c>
      <c r="O38" s="443">
        <v>0.77</v>
      </c>
      <c r="P38" s="115"/>
      <c r="Q38" s="442">
        <v>6</v>
      </c>
      <c r="R38" s="443">
        <v>0.83</v>
      </c>
      <c r="AA38" s="76"/>
      <c r="AB38" s="76"/>
      <c r="AC38" s="76"/>
    </row>
    <row r="39" spans="2:29" ht="12.75">
      <c r="B39" s="531">
        <v>6</v>
      </c>
      <c r="C39" s="584">
        <v>0.8611111111111112</v>
      </c>
      <c r="D39" s="415"/>
      <c r="E39" s="531">
        <v>9</v>
      </c>
      <c r="F39" s="584">
        <v>0.9444444444444444</v>
      </c>
      <c r="G39" s="415"/>
      <c r="H39" s="586">
        <v>9</v>
      </c>
      <c r="I39" s="584">
        <v>0.9444444444444444</v>
      </c>
      <c r="J39" s="407"/>
      <c r="K39" s="531">
        <v>9</v>
      </c>
      <c r="L39" s="584">
        <v>0.7870370370370371</v>
      </c>
      <c r="M39" s="415"/>
      <c r="N39" s="352">
        <v>1</v>
      </c>
      <c r="O39" s="443">
        <v>0.45</v>
      </c>
      <c r="P39" s="115"/>
      <c r="Q39" s="442">
        <v>5</v>
      </c>
      <c r="R39" s="443">
        <v>0.46</v>
      </c>
      <c r="AA39" s="76"/>
      <c r="AB39" s="76"/>
      <c r="AC39" s="76"/>
    </row>
    <row r="40" spans="2:29" ht="13.5" thickBot="1">
      <c r="B40" s="531">
        <v>5</v>
      </c>
      <c r="C40" s="584">
        <v>0.8333333333333334</v>
      </c>
      <c r="D40" s="415"/>
      <c r="E40" s="531">
        <v>8</v>
      </c>
      <c r="F40" s="584">
        <v>0.8888888888888888</v>
      </c>
      <c r="G40" s="415"/>
      <c r="H40" s="588" t="s">
        <v>106</v>
      </c>
      <c r="I40" s="584">
        <v>0.8888888888888888</v>
      </c>
      <c r="J40" s="407"/>
      <c r="K40" s="531">
        <v>8</v>
      </c>
      <c r="L40" s="584">
        <v>0.7407407407407407</v>
      </c>
      <c r="M40" s="415"/>
      <c r="N40" s="349">
        <v>0</v>
      </c>
      <c r="O40" s="445">
        <v>0.22</v>
      </c>
      <c r="P40" s="115"/>
      <c r="Q40" s="444">
        <v>4</v>
      </c>
      <c r="R40" s="445">
        <v>0.28</v>
      </c>
      <c r="AA40" s="76"/>
      <c r="AB40" s="76"/>
      <c r="AC40" s="76"/>
    </row>
    <row r="41" spans="2:29" ht="12.75">
      <c r="B41" s="531" t="s">
        <v>94</v>
      </c>
      <c r="C41" s="584">
        <v>0.75</v>
      </c>
      <c r="D41" s="415"/>
      <c r="E41" s="531" t="s">
        <v>106</v>
      </c>
      <c r="F41" s="584">
        <v>0.8842592592592593</v>
      </c>
      <c r="G41" s="415"/>
      <c r="H41" s="531">
        <v>8</v>
      </c>
      <c r="I41" s="584">
        <v>0.8842592592592593</v>
      </c>
      <c r="J41" s="407"/>
      <c r="K41" s="531" t="s">
        <v>95</v>
      </c>
      <c r="L41" s="584">
        <v>0.7368827160493828</v>
      </c>
      <c r="M41" s="415"/>
      <c r="P41" s="115"/>
      <c r="Q41" s="115"/>
      <c r="R41" s="390"/>
      <c r="AA41" s="76"/>
      <c r="AB41" s="76"/>
      <c r="AC41" s="76"/>
    </row>
    <row r="42" spans="2:29" ht="13.5" thickBot="1">
      <c r="B42" s="531">
        <v>4</v>
      </c>
      <c r="C42" s="584">
        <v>0.6666666666666666</v>
      </c>
      <c r="D42" s="415"/>
      <c r="E42" s="531">
        <v>7</v>
      </c>
      <c r="F42" s="584">
        <v>0.8148148148148148</v>
      </c>
      <c r="G42" s="415"/>
      <c r="H42" s="531">
        <v>7</v>
      </c>
      <c r="I42" s="584">
        <v>0.8148148148148148</v>
      </c>
      <c r="J42" s="407"/>
      <c r="K42" s="531">
        <v>7</v>
      </c>
      <c r="L42" s="584">
        <v>0.6790123456790124</v>
      </c>
      <c r="M42" s="415"/>
      <c r="N42" s="622" t="s">
        <v>152</v>
      </c>
      <c r="O42" s="622"/>
      <c r="P42" s="115"/>
      <c r="Q42" s="115"/>
      <c r="R42" s="390"/>
      <c r="AA42" s="76"/>
      <c r="AB42" s="76"/>
      <c r="AC42" s="76"/>
    </row>
    <row r="43" spans="2:29" ht="13.5" thickBot="1">
      <c r="B43" s="531" t="s">
        <v>96</v>
      </c>
      <c r="C43" s="584">
        <v>0.5555555555555556</v>
      </c>
      <c r="D43" s="415"/>
      <c r="E43" s="531" t="s">
        <v>107</v>
      </c>
      <c r="F43" s="584">
        <v>0.7731481481481481</v>
      </c>
      <c r="G43" s="415"/>
      <c r="H43" s="531" t="s">
        <v>107</v>
      </c>
      <c r="I43" s="584">
        <v>0.7731481481481481</v>
      </c>
      <c r="J43" s="407"/>
      <c r="K43" s="531" t="s">
        <v>97</v>
      </c>
      <c r="L43" s="584">
        <v>0.6442901234567902</v>
      </c>
      <c r="M43" s="415"/>
      <c r="N43" s="347" t="s">
        <v>61</v>
      </c>
      <c r="O43" s="348" t="s">
        <v>0</v>
      </c>
      <c r="P43" s="115"/>
      <c r="Q43" s="115"/>
      <c r="R43" s="390"/>
      <c r="AA43" s="76"/>
      <c r="AB43" s="76"/>
      <c r="AC43" s="76"/>
    </row>
    <row r="44" spans="2:29" ht="12.75">
      <c r="B44" s="531">
        <v>3</v>
      </c>
      <c r="C44" s="584">
        <v>0.5</v>
      </c>
      <c r="D44" s="415"/>
      <c r="E44" s="531">
        <v>6</v>
      </c>
      <c r="F44" s="584">
        <v>0.7222222222222222</v>
      </c>
      <c r="G44" s="415"/>
      <c r="H44" s="531">
        <v>6</v>
      </c>
      <c r="I44" s="584">
        <v>0.7222222222222222</v>
      </c>
      <c r="J44" s="407"/>
      <c r="K44" s="531">
        <v>6</v>
      </c>
      <c r="L44" s="584">
        <v>0.6018518518518519</v>
      </c>
      <c r="M44" s="415"/>
      <c r="N44" s="352">
        <v>10</v>
      </c>
      <c r="O44" s="384">
        <v>4.15</v>
      </c>
      <c r="P44" s="115"/>
      <c r="Q44" s="115"/>
      <c r="R44" s="390"/>
      <c r="AA44" s="76"/>
      <c r="AB44" s="76"/>
      <c r="AC44" s="76"/>
    </row>
    <row r="45" spans="2:29" ht="12.75">
      <c r="B45" s="531">
        <v>2</v>
      </c>
      <c r="C45" s="584">
        <v>0.3333333333333333</v>
      </c>
      <c r="D45" s="415"/>
      <c r="E45" s="531" t="s">
        <v>108</v>
      </c>
      <c r="F45" s="584">
        <v>0.6522633744855967</v>
      </c>
      <c r="G45" s="415"/>
      <c r="H45" s="531" t="s">
        <v>108</v>
      </c>
      <c r="I45" s="584">
        <v>0.6522633744855967</v>
      </c>
      <c r="J45" s="407"/>
      <c r="K45" s="531" t="s">
        <v>98</v>
      </c>
      <c r="L45" s="584">
        <v>0.5435528120713305</v>
      </c>
      <c r="M45" s="415"/>
      <c r="N45" s="352">
        <v>9</v>
      </c>
      <c r="O45" s="384">
        <v>4.08</v>
      </c>
      <c r="P45" s="115"/>
      <c r="Q45" s="115"/>
      <c r="R45" s="390"/>
      <c r="AA45" s="76"/>
      <c r="AB45" s="76"/>
      <c r="AC45" s="76"/>
    </row>
    <row r="46" spans="2:29" ht="12.75">
      <c r="B46" s="531" t="s">
        <v>99</v>
      </c>
      <c r="C46" s="584">
        <v>0.3055555555555556</v>
      </c>
      <c r="D46" s="415"/>
      <c r="E46" s="531">
        <v>5</v>
      </c>
      <c r="F46" s="584">
        <v>0.6111111111111112</v>
      </c>
      <c r="G46" s="415"/>
      <c r="H46" s="531">
        <v>5</v>
      </c>
      <c r="I46" s="584">
        <v>0.6111111111111112</v>
      </c>
      <c r="J46" s="407"/>
      <c r="K46" s="531">
        <v>5</v>
      </c>
      <c r="L46" s="584">
        <v>0.5092592592592593</v>
      </c>
      <c r="M46" s="415"/>
      <c r="N46" s="352">
        <v>8</v>
      </c>
      <c r="O46" s="384">
        <v>3.92</v>
      </c>
      <c r="P46" s="115"/>
      <c r="Q46" s="115"/>
      <c r="R46" s="390"/>
      <c r="AA46" s="76"/>
      <c r="AB46" s="76"/>
      <c r="AC46" s="76"/>
    </row>
    <row r="47" spans="2:29" ht="12.75">
      <c r="B47" s="531">
        <v>1</v>
      </c>
      <c r="C47" s="584">
        <v>0.16666666666666666</v>
      </c>
      <c r="D47" s="415"/>
      <c r="E47" s="531" t="s">
        <v>109</v>
      </c>
      <c r="F47" s="584">
        <v>0.537037037037037</v>
      </c>
      <c r="G47" s="415"/>
      <c r="H47" s="531" t="s">
        <v>109</v>
      </c>
      <c r="I47" s="584">
        <v>0.537037037037037</v>
      </c>
      <c r="J47" s="407"/>
      <c r="K47" s="531" t="s">
        <v>94</v>
      </c>
      <c r="L47" s="584">
        <v>0.44753086419753085</v>
      </c>
      <c r="M47" s="415"/>
      <c r="N47" s="352">
        <v>7</v>
      </c>
      <c r="O47" s="384">
        <v>3.64</v>
      </c>
      <c r="P47" s="115"/>
      <c r="Q47" s="115"/>
      <c r="R47" s="390"/>
      <c r="AA47" s="76"/>
      <c r="AB47" s="76"/>
      <c r="AC47" s="76"/>
    </row>
    <row r="48" spans="5:29" ht="12.75">
      <c r="E48" s="531">
        <v>4</v>
      </c>
      <c r="F48" s="584">
        <v>0.5185185185185185</v>
      </c>
      <c r="G48" s="415"/>
      <c r="H48" s="531">
        <v>4</v>
      </c>
      <c r="I48" s="584">
        <v>0.5185185185185185</v>
      </c>
      <c r="J48" s="407"/>
      <c r="K48" s="531">
        <v>4</v>
      </c>
      <c r="L48" s="584">
        <v>0.43209876543209874</v>
      </c>
      <c r="M48" s="415"/>
      <c r="N48" s="352">
        <v>6</v>
      </c>
      <c r="O48" s="384">
        <v>3.25</v>
      </c>
      <c r="P48" s="115"/>
      <c r="Q48" s="115"/>
      <c r="R48" s="390"/>
      <c r="AA48" s="76"/>
      <c r="AB48" s="76"/>
      <c r="AC48" s="76"/>
    </row>
    <row r="49" spans="5:29" ht="12.75">
      <c r="E49" s="531">
        <v>3</v>
      </c>
      <c r="F49" s="584">
        <v>0.4444444444444444</v>
      </c>
      <c r="G49" s="415"/>
      <c r="H49" s="531" t="s">
        <v>110</v>
      </c>
      <c r="I49" s="584">
        <v>0.4444444444444444</v>
      </c>
      <c r="J49" s="407"/>
      <c r="K49" s="531">
        <v>3</v>
      </c>
      <c r="L49" s="584">
        <v>0.37037037037037035</v>
      </c>
      <c r="M49" s="415"/>
      <c r="N49" s="352">
        <v>5</v>
      </c>
      <c r="O49" s="384">
        <v>2.74</v>
      </c>
      <c r="P49" s="115"/>
      <c r="Q49" s="115"/>
      <c r="R49" s="390"/>
      <c r="AA49" s="76"/>
      <c r="AB49" s="76"/>
      <c r="AC49" s="76"/>
    </row>
    <row r="50" spans="5:29" ht="12.75">
      <c r="E50" s="531" t="s">
        <v>110</v>
      </c>
      <c r="F50" s="584">
        <v>0.43981481481481477</v>
      </c>
      <c r="G50" s="415"/>
      <c r="H50" s="531">
        <v>3</v>
      </c>
      <c r="I50" s="584">
        <v>0.43981481481481477</v>
      </c>
      <c r="J50" s="407"/>
      <c r="K50" s="531" t="s">
        <v>96</v>
      </c>
      <c r="L50" s="584">
        <v>0.3665123456790123</v>
      </c>
      <c r="M50" s="415"/>
      <c r="N50" s="352">
        <v>4</v>
      </c>
      <c r="O50" s="384">
        <v>2.15</v>
      </c>
      <c r="P50" s="115"/>
      <c r="Q50" s="115"/>
      <c r="R50" s="390"/>
      <c r="AA50" s="76"/>
      <c r="AB50" s="76"/>
      <c r="AC50" s="76"/>
    </row>
    <row r="51" spans="5:29" ht="12.75">
      <c r="E51" s="531">
        <v>2</v>
      </c>
      <c r="F51" s="584">
        <v>0.38888888888888884</v>
      </c>
      <c r="G51" s="415"/>
      <c r="H51" s="531">
        <v>2</v>
      </c>
      <c r="I51" s="584">
        <v>0.38888888888888884</v>
      </c>
      <c r="J51" s="407"/>
      <c r="K51" s="531">
        <v>2</v>
      </c>
      <c r="L51" s="584">
        <v>0.32407407407407407</v>
      </c>
      <c r="M51" s="415"/>
      <c r="N51" s="352">
        <v>3</v>
      </c>
      <c r="O51" s="384">
        <v>1.54</v>
      </c>
      <c r="P51" s="115"/>
      <c r="Q51" s="115"/>
      <c r="R51" s="390"/>
      <c r="AA51" s="76"/>
      <c r="AB51" s="76"/>
      <c r="AC51" s="76"/>
    </row>
    <row r="52" spans="5:29" ht="12.75">
      <c r="E52" s="531" t="s">
        <v>111</v>
      </c>
      <c r="F52" s="584">
        <v>0.3698559670781893</v>
      </c>
      <c r="G52" s="415"/>
      <c r="H52" s="531" t="s">
        <v>111</v>
      </c>
      <c r="I52" s="584">
        <v>0.3698559670781893</v>
      </c>
      <c r="J52" s="407"/>
      <c r="K52" s="531" t="s">
        <v>99</v>
      </c>
      <c r="L52" s="584">
        <v>0.3082133058984911</v>
      </c>
      <c r="M52" s="415"/>
      <c r="N52" s="352">
        <v>2</v>
      </c>
      <c r="O52" s="384">
        <v>1.01</v>
      </c>
      <c r="P52" s="115"/>
      <c r="Q52" s="115"/>
      <c r="R52" s="390"/>
      <c r="AA52" s="76"/>
      <c r="AB52" s="76"/>
      <c r="AC52" s="76"/>
    </row>
    <row r="53" spans="5:29" ht="12.75">
      <c r="E53" s="531">
        <v>1</v>
      </c>
      <c r="F53" s="584">
        <v>0.35185185185185186</v>
      </c>
      <c r="G53" s="415"/>
      <c r="H53" s="531">
        <v>1</v>
      </c>
      <c r="I53" s="584">
        <v>0.35185185185185186</v>
      </c>
      <c r="J53" s="407"/>
      <c r="K53" s="531">
        <v>1</v>
      </c>
      <c r="L53" s="584">
        <v>0.2932098765432099</v>
      </c>
      <c r="M53" s="415"/>
      <c r="N53" s="352">
        <v>1</v>
      </c>
      <c r="O53" s="384">
        <v>0.59</v>
      </c>
      <c r="P53" s="115"/>
      <c r="Q53" s="115"/>
      <c r="R53" s="390"/>
      <c r="AA53" s="76"/>
      <c r="AB53" s="76"/>
      <c r="AC53" s="76"/>
    </row>
    <row r="54" spans="14:29" ht="13.5" thickBot="1">
      <c r="N54" s="349">
        <v>0</v>
      </c>
      <c r="O54" s="350">
        <v>0.29</v>
      </c>
      <c r="P54" s="115"/>
      <c r="Q54" s="115"/>
      <c r="R54" s="390"/>
      <c r="AA54" s="76"/>
      <c r="AB54" s="76"/>
      <c r="AC54" s="76"/>
    </row>
    <row r="55" spans="27:29" ht="13.5" thickBot="1">
      <c r="AA55" s="76"/>
      <c r="AB55" s="76"/>
      <c r="AC55" s="76"/>
    </row>
    <row r="56" spans="1:29" ht="16.5" thickBot="1">
      <c r="A56" s="391"/>
      <c r="B56" s="416" t="s">
        <v>11</v>
      </c>
      <c r="C56" s="417" t="s">
        <v>17</v>
      </c>
      <c r="D56" s="418"/>
      <c r="E56" s="418"/>
      <c r="F56" s="418"/>
      <c r="G56" s="418"/>
      <c r="H56" s="419"/>
      <c r="I56" s="738" t="s">
        <v>124</v>
      </c>
      <c r="J56" s="722"/>
      <c r="K56" s="738" t="s">
        <v>119</v>
      </c>
      <c r="L56" s="732"/>
      <c r="M56" s="735" t="s">
        <v>59</v>
      </c>
      <c r="N56" s="737"/>
      <c r="O56" s="735" t="s">
        <v>115</v>
      </c>
      <c r="P56" s="726"/>
      <c r="Q56" s="735" t="s">
        <v>117</v>
      </c>
      <c r="R56" s="736"/>
      <c r="S56" s="737"/>
      <c r="T56" s="715" t="s">
        <v>127</v>
      </c>
      <c r="U56" s="716"/>
      <c r="V56" s="716"/>
      <c r="W56" s="716"/>
      <c r="X56" s="716"/>
      <c r="Y56" s="716"/>
      <c r="Z56" s="717"/>
      <c r="AA56" s="76"/>
      <c r="AB56" s="76"/>
      <c r="AC56" s="76"/>
    </row>
    <row r="57" spans="1:29" ht="13.5" thickBot="1">
      <c r="A57" s="389"/>
      <c r="B57" s="398"/>
      <c r="C57" s="398"/>
      <c r="D57" s="398"/>
      <c r="E57" s="398"/>
      <c r="F57" s="398"/>
      <c r="G57" s="398"/>
      <c r="H57" s="398"/>
      <c r="I57" s="452" t="s">
        <v>19</v>
      </c>
      <c r="J57" s="452" t="s">
        <v>20</v>
      </c>
      <c r="K57" s="351" t="s">
        <v>120</v>
      </c>
      <c r="L57" s="428" t="s">
        <v>121</v>
      </c>
      <c r="M57" s="476" t="s">
        <v>0</v>
      </c>
      <c r="N57" s="477" t="s">
        <v>116</v>
      </c>
      <c r="O57" s="463" t="s">
        <v>0</v>
      </c>
      <c r="P57" s="589" t="s">
        <v>116</v>
      </c>
      <c r="Q57" s="463" t="s">
        <v>118</v>
      </c>
      <c r="R57" s="429" t="s">
        <v>114</v>
      </c>
      <c r="S57" s="457" t="s">
        <v>116</v>
      </c>
      <c r="T57" s="623">
        <v>1</v>
      </c>
      <c r="U57" s="464">
        <v>2</v>
      </c>
      <c r="V57" s="464">
        <v>3</v>
      </c>
      <c r="W57" s="464">
        <v>4</v>
      </c>
      <c r="X57" s="464">
        <v>5</v>
      </c>
      <c r="Y57" s="464">
        <v>6</v>
      </c>
      <c r="Z57" s="465" t="s">
        <v>28</v>
      </c>
      <c r="AA57" s="76"/>
      <c r="AB57" s="76"/>
      <c r="AC57" s="76"/>
    </row>
    <row r="58" spans="1:29" ht="13.5" thickBot="1">
      <c r="A58" s="392"/>
      <c r="B58" s="421" t="s">
        <v>12</v>
      </c>
      <c r="C58" s="422"/>
      <c r="D58" s="422"/>
      <c r="E58" s="422"/>
      <c r="F58" s="422"/>
      <c r="G58" s="422"/>
      <c r="H58" s="423"/>
      <c r="I58" s="350">
        <f>SUM(I59:I90)</f>
        <v>0</v>
      </c>
      <c r="J58" s="350">
        <f>SUM(J59:J90)</f>
        <v>0</v>
      </c>
      <c r="K58" s="350"/>
      <c r="L58" s="350">
        <f>SUM(L59:L90)</f>
        <v>0</v>
      </c>
      <c r="M58" s="459">
        <f>SUM(M59:M90)</f>
        <v>30</v>
      </c>
      <c r="N58" s="466">
        <f>SUM(N59:N90)</f>
        <v>0</v>
      </c>
      <c r="O58" s="459">
        <f>SUM(O59:O90)</f>
        <v>40.35714285714285</v>
      </c>
      <c r="P58" s="459">
        <f>SUM(P59:P90)</f>
        <v>0</v>
      </c>
      <c r="Q58" s="459"/>
      <c r="R58" s="459"/>
      <c r="S58" s="466">
        <f>SUM(S59:S90)</f>
        <v>0</v>
      </c>
      <c r="T58" s="598"/>
      <c r="U58" s="599"/>
      <c r="V58" s="599"/>
      <c r="W58" s="599"/>
      <c r="X58" s="599"/>
      <c r="Y58" s="599"/>
      <c r="Z58" s="600"/>
      <c r="AA58" s="76"/>
      <c r="AB58" s="76"/>
      <c r="AC58" s="76"/>
    </row>
    <row r="59" spans="1:29" ht="15.75">
      <c r="A59" s="393">
        <v>1</v>
      </c>
      <c r="B59" s="424" t="s">
        <v>418</v>
      </c>
      <c r="C59" s="390"/>
      <c r="D59" s="390"/>
      <c r="I59" s="425"/>
      <c r="J59" s="408"/>
      <c r="K59" s="425"/>
      <c r="L59" s="425"/>
      <c r="M59" s="467"/>
      <c r="N59" s="467"/>
      <c r="O59" s="467"/>
      <c r="P59" s="467"/>
      <c r="Q59" s="467"/>
      <c r="R59" s="467"/>
      <c r="S59" s="468"/>
      <c r="T59" s="601"/>
      <c r="U59" s="602"/>
      <c r="V59" s="602"/>
      <c r="W59" s="602"/>
      <c r="X59" s="602"/>
      <c r="Y59" s="602"/>
      <c r="Z59" s="603"/>
      <c r="AA59" s="76"/>
      <c r="AB59" s="76"/>
      <c r="AC59" s="76"/>
    </row>
    <row r="60" spans="1:29" ht="15.75">
      <c r="A60" s="393"/>
      <c r="B60" s="426" t="s">
        <v>19</v>
      </c>
      <c r="C60" s="390"/>
      <c r="D60" s="390"/>
      <c r="I60" s="425"/>
      <c r="J60" s="408"/>
      <c r="K60" s="425"/>
      <c r="L60" s="425"/>
      <c r="M60" s="467"/>
      <c r="N60" s="467"/>
      <c r="O60" s="467"/>
      <c r="P60" s="467"/>
      <c r="Q60" s="467"/>
      <c r="R60" s="467"/>
      <c r="S60" s="468"/>
      <c r="T60" s="601"/>
      <c r="U60" s="602"/>
      <c r="V60" s="602"/>
      <c r="W60" s="602"/>
      <c r="X60" s="602"/>
      <c r="Y60" s="602"/>
      <c r="Z60" s="603"/>
      <c r="AA60" s="76"/>
      <c r="AB60" s="76"/>
      <c r="AC60" s="76"/>
    </row>
    <row r="61" spans="1:29" ht="15.75">
      <c r="A61" s="393"/>
      <c r="B61" s="426"/>
      <c r="C61" s="390" t="s">
        <v>113</v>
      </c>
      <c r="D61" s="390"/>
      <c r="I61" s="425">
        <f>'CUARTEL GENERAL'!H27+'CUARTEL GENERAL'!H40+'CUARTEL GENERAL'!H57+'CUARTEL GENERAL'!H73</f>
        <v>0</v>
      </c>
      <c r="J61" s="408"/>
      <c r="K61" s="425">
        <v>1</v>
      </c>
      <c r="L61" s="425">
        <f>K61*(I61+J61)</f>
        <v>0</v>
      </c>
      <c r="M61" s="467">
        <f>C20</f>
        <v>0.8333333333333333</v>
      </c>
      <c r="N61" s="467">
        <f aca="true" t="shared" si="0" ref="N61:N70">L61*M61</f>
        <v>0</v>
      </c>
      <c r="O61" s="467">
        <f>G23</f>
        <v>1.0714285714285714</v>
      </c>
      <c r="P61" s="467">
        <f aca="true" t="shared" si="1" ref="P61:P70">O61*L61</f>
        <v>0</v>
      </c>
      <c r="Q61" s="467">
        <f>K21</f>
        <v>0.09</v>
      </c>
      <c r="R61" s="467">
        <v>0.8333333333333334</v>
      </c>
      <c r="S61" s="468">
        <f aca="true" t="shared" si="2" ref="S61:S70">L61*Q61*R61</f>
        <v>0</v>
      </c>
      <c r="T61" s="601"/>
      <c r="U61" s="602"/>
      <c r="V61" s="602"/>
      <c r="W61" s="602"/>
      <c r="X61" s="604">
        <f>S61</f>
        <v>0</v>
      </c>
      <c r="Y61" s="602"/>
      <c r="Z61" s="603"/>
      <c r="AA61" s="76"/>
      <c r="AB61" s="76"/>
      <c r="AC61" s="76"/>
    </row>
    <row r="62" spans="1:29" ht="15.75">
      <c r="A62" s="393"/>
      <c r="B62" s="426"/>
      <c r="C62" s="390" t="s">
        <v>411</v>
      </c>
      <c r="D62" s="390"/>
      <c r="I62" s="425">
        <f>'CUARTEL GENERAL'!E22+'CUARTEL GENERAL'!E23</f>
        <v>0</v>
      </c>
      <c r="J62" s="408"/>
      <c r="K62" s="425">
        <v>1</v>
      </c>
      <c r="L62" s="425">
        <f>K62*(I62+J62)</f>
        <v>0</v>
      </c>
      <c r="M62" s="467">
        <f>M61</f>
        <v>0.8333333333333333</v>
      </c>
      <c r="N62" s="467">
        <f t="shared" si="0"/>
        <v>0</v>
      </c>
      <c r="O62" s="467">
        <f>O61</f>
        <v>1.0714285714285714</v>
      </c>
      <c r="P62" s="467">
        <f t="shared" si="1"/>
        <v>0</v>
      </c>
      <c r="Q62" s="467">
        <f>Q61</f>
        <v>0.09</v>
      </c>
      <c r="R62" s="467">
        <v>0.9444444444444444</v>
      </c>
      <c r="S62" s="468">
        <f t="shared" si="2"/>
        <v>0</v>
      </c>
      <c r="T62" s="601"/>
      <c r="U62" s="602"/>
      <c r="V62" s="602"/>
      <c r="W62" s="602"/>
      <c r="X62" s="604">
        <f>S62</f>
        <v>0</v>
      </c>
      <c r="Y62" s="602"/>
      <c r="Z62" s="603"/>
      <c r="AA62" s="76"/>
      <c r="AB62" s="76"/>
      <c r="AC62" s="76"/>
    </row>
    <row r="63" spans="1:29" ht="15.75">
      <c r="A63" s="393"/>
      <c r="B63" s="426"/>
      <c r="C63" s="390" t="s">
        <v>274</v>
      </c>
      <c r="D63" s="390"/>
      <c r="I63" s="425">
        <f>'CUARTEL GENERAL'!H32+'CUARTEL GENERAL'!H45+'CUARTEL GENERAL'!H62+'CUARTEL GENERAL'!H78+'CUARTEL GENERAL'!H36+'CUARTEL GENERAL'!H49+'CUARTEL GENERAL'!H66+'CUARTEL GENERAL'!H82</f>
        <v>0</v>
      </c>
      <c r="J63" s="408"/>
      <c r="K63" s="425">
        <v>1</v>
      </c>
      <c r="L63" s="425">
        <f>K63*(I63+J63)</f>
        <v>0</v>
      </c>
      <c r="M63" s="467">
        <f>C20</f>
        <v>0.8333333333333333</v>
      </c>
      <c r="N63" s="467">
        <f t="shared" si="0"/>
        <v>0</v>
      </c>
      <c r="O63" s="467">
        <f>G23</f>
        <v>1.0714285714285714</v>
      </c>
      <c r="P63" s="467">
        <f t="shared" si="1"/>
        <v>0</v>
      </c>
      <c r="Q63" s="467">
        <f>K18</f>
        <v>1.39</v>
      </c>
      <c r="R63" s="467">
        <v>0.8333333333333334</v>
      </c>
      <c r="S63" s="468">
        <f t="shared" si="2"/>
        <v>0</v>
      </c>
      <c r="T63" s="601"/>
      <c r="U63" s="604">
        <f>S63</f>
        <v>0</v>
      </c>
      <c r="V63" s="602"/>
      <c r="W63" s="602"/>
      <c r="X63" s="604"/>
      <c r="Y63" s="602"/>
      <c r="Z63" s="603"/>
      <c r="AA63" s="76"/>
      <c r="AB63" s="76"/>
      <c r="AC63" s="76"/>
    </row>
    <row r="64" spans="1:29" ht="15.75">
      <c r="A64" s="393"/>
      <c r="B64" s="426"/>
      <c r="C64" s="390" t="s">
        <v>416</v>
      </c>
      <c r="D64" s="390"/>
      <c r="I64" s="425">
        <f>'CUARTEL GENERAL'!H31+'CUARTEL GENERAL'!H44+'CUARTEL GENERAL'!H61+'CUARTEL GENERAL'!H77</f>
        <v>0</v>
      </c>
      <c r="J64" s="408"/>
      <c r="K64" s="425">
        <v>1.5</v>
      </c>
      <c r="L64" s="425">
        <f>K64*(I64+J64)</f>
        <v>0</v>
      </c>
      <c r="M64" s="467">
        <f>C19</f>
        <v>1.25</v>
      </c>
      <c r="N64" s="467">
        <f t="shared" si="0"/>
        <v>0</v>
      </c>
      <c r="O64" s="467">
        <f>G22</f>
        <v>1.4285714285714284</v>
      </c>
      <c r="P64" s="467">
        <f t="shared" si="1"/>
        <v>0</v>
      </c>
      <c r="Q64" s="467">
        <f>K21</f>
        <v>0.09</v>
      </c>
      <c r="R64" s="467">
        <v>0.8333333333333334</v>
      </c>
      <c r="S64" s="468">
        <f t="shared" si="2"/>
        <v>0</v>
      </c>
      <c r="T64" s="601"/>
      <c r="U64" s="604"/>
      <c r="V64" s="602"/>
      <c r="W64" s="602"/>
      <c r="X64" s="604">
        <f>S64</f>
        <v>0</v>
      </c>
      <c r="Y64" s="602"/>
      <c r="Z64" s="603"/>
      <c r="AA64" s="76"/>
      <c r="AB64" s="76"/>
      <c r="AC64" s="76"/>
    </row>
    <row r="65" spans="1:29" ht="15.75">
      <c r="A65" s="393"/>
      <c r="B65" s="426"/>
      <c r="C65" s="390" t="s">
        <v>417</v>
      </c>
      <c r="D65" s="390"/>
      <c r="I65" s="425">
        <f>'CUARTEL GENERAL'!H51+'CUARTEL GENERAL'!H67+'CUARTEL GENERAL'!H84+'CUARTEL GENERAL'!H55+'CUARTEL GENERAL'!H71+'CUARTEL GENERAL'!H88</f>
        <v>0</v>
      </c>
      <c r="J65" s="408"/>
      <c r="K65" s="425">
        <v>1.5</v>
      </c>
      <c r="L65" s="425">
        <f>L64</f>
        <v>0</v>
      </c>
      <c r="M65" s="467">
        <f>C19</f>
        <v>1.25</v>
      </c>
      <c r="N65" s="467">
        <f t="shared" si="0"/>
        <v>0</v>
      </c>
      <c r="O65" s="467">
        <f>G21</f>
        <v>1.7857142857142858</v>
      </c>
      <c r="P65" s="467">
        <f t="shared" si="1"/>
        <v>0</v>
      </c>
      <c r="Q65" s="467">
        <f>K21</f>
        <v>0.09</v>
      </c>
      <c r="R65" s="467">
        <v>0.9444444444444444</v>
      </c>
      <c r="S65" s="468">
        <f t="shared" si="2"/>
        <v>0</v>
      </c>
      <c r="T65" s="601"/>
      <c r="U65" s="604"/>
      <c r="V65" s="602"/>
      <c r="W65" s="602"/>
      <c r="X65" s="604">
        <f>S65</f>
        <v>0</v>
      </c>
      <c r="Y65" s="602"/>
      <c r="Z65" s="603"/>
      <c r="AA65" s="76"/>
      <c r="AB65" s="76"/>
      <c r="AC65" s="76"/>
    </row>
    <row r="66" spans="1:29" ht="15.75">
      <c r="A66" s="393"/>
      <c r="B66" s="426"/>
      <c r="C66" s="390" t="s">
        <v>122</v>
      </c>
      <c r="D66" s="390"/>
      <c r="I66" s="425">
        <f>'CUARTEL GENERAL'!E12+'CUARTEL GENERAL'!H28+'CUARTEL GENERAL'!H33+'CUARTEL GENERAL'!H41+'CUARTEL GENERAL'!H46+'CUARTEL GENERAL'!H50+'CUARTEL GENERAL'!H52+'CUARTEL GENERAL'!H58+'CUARTEL GENERAL'!H63+'CUARTEL GENERAL'!H68+'CUARTEL GENERAL'!H74+'CUARTEL GENERAL'!H79+'CUARTEL GENERAL'!H83+'CUARTEL GENERAL'!H85</f>
        <v>0</v>
      </c>
      <c r="J66" s="408"/>
      <c r="K66" s="425">
        <v>2</v>
      </c>
      <c r="L66" s="425">
        <f>K66*(I66+J66)</f>
        <v>0</v>
      </c>
      <c r="M66" s="467">
        <f>C18</f>
        <v>1.6666666666666665</v>
      </c>
      <c r="N66" s="467">
        <f t="shared" si="0"/>
        <v>0</v>
      </c>
      <c r="O66" s="467">
        <f>G21</f>
        <v>1.7857142857142858</v>
      </c>
      <c r="P66" s="467">
        <f t="shared" si="1"/>
        <v>0</v>
      </c>
      <c r="Q66" s="467">
        <f>K21</f>
        <v>0.09</v>
      </c>
      <c r="R66" s="467">
        <v>0.8333333333333334</v>
      </c>
      <c r="S66" s="468">
        <f t="shared" si="2"/>
        <v>0</v>
      </c>
      <c r="T66" s="601"/>
      <c r="U66" s="602"/>
      <c r="V66" s="602"/>
      <c r="W66" s="602"/>
      <c r="X66" s="604">
        <f>S66</f>
        <v>0</v>
      </c>
      <c r="Y66" s="602"/>
      <c r="Z66" s="603"/>
      <c r="AA66" s="76"/>
      <c r="AB66" s="76"/>
      <c r="AC66" s="76"/>
    </row>
    <row r="67" spans="1:29" ht="15.75">
      <c r="A67" s="393"/>
      <c r="B67" s="426"/>
      <c r="C67" s="390" t="s">
        <v>412</v>
      </c>
      <c r="D67" s="390"/>
      <c r="I67" s="425">
        <f>'CUARTEL GENERAL'!H29+'CUARTEL GENERAL'!H34+'CUARTEL GENERAL'!H42+'CUARTEL GENERAL'!H47+'CUARTEL GENERAL'!H53+'CUARTEL GENERAL'!H59+'CUARTEL GENERAL'!H64+'CUARTEL GENERAL'!H69+'CUARTEL GENERAL'!H75+'CUARTEL GENERAL'!H80+'CUARTEL GENERAL'!H86</f>
        <v>0</v>
      </c>
      <c r="J67" s="408"/>
      <c r="K67" s="425">
        <v>1.5</v>
      </c>
      <c r="L67" s="425">
        <f>K67*(I67+J67)</f>
        <v>0</v>
      </c>
      <c r="M67" s="467">
        <f>C19</f>
        <v>1.25</v>
      </c>
      <c r="N67" s="467">
        <f t="shared" si="0"/>
        <v>0</v>
      </c>
      <c r="O67" s="467">
        <f>G22</f>
        <v>1.4285714285714284</v>
      </c>
      <c r="P67" s="467">
        <f t="shared" si="1"/>
        <v>0</v>
      </c>
      <c r="Q67" s="467">
        <f>K18</f>
        <v>1.39</v>
      </c>
      <c r="R67" s="467">
        <v>0.8333333333333334</v>
      </c>
      <c r="S67" s="468">
        <f t="shared" si="2"/>
        <v>0</v>
      </c>
      <c r="T67" s="601"/>
      <c r="U67" s="604">
        <f>S67</f>
        <v>0</v>
      </c>
      <c r="V67" s="602"/>
      <c r="W67" s="602"/>
      <c r="X67" s="604"/>
      <c r="Y67" s="602"/>
      <c r="Z67" s="603"/>
      <c r="AA67" s="76"/>
      <c r="AB67" s="76"/>
      <c r="AC67" s="76"/>
    </row>
    <row r="68" spans="1:29" ht="15.75">
      <c r="A68" s="393"/>
      <c r="B68" s="426"/>
      <c r="C68" s="390" t="s">
        <v>413</v>
      </c>
      <c r="D68" s="390"/>
      <c r="I68" s="425">
        <f>'CUARTEL GENERAL'!E5+'CUARTEL GENERAL'!E6</f>
        <v>0</v>
      </c>
      <c r="J68" s="408"/>
      <c r="K68" s="425">
        <v>1.5</v>
      </c>
      <c r="L68" s="425">
        <f>K68*(I68+J68)</f>
        <v>0</v>
      </c>
      <c r="M68" s="425">
        <f>M67</f>
        <v>1.25</v>
      </c>
      <c r="N68" s="467">
        <f t="shared" si="0"/>
        <v>0</v>
      </c>
      <c r="O68" s="468">
        <f>O67</f>
        <v>1.4285714285714284</v>
      </c>
      <c r="P68" s="467">
        <f t="shared" si="1"/>
        <v>0</v>
      </c>
      <c r="Q68" s="468">
        <f>Q67</f>
        <v>1.39</v>
      </c>
      <c r="R68" s="467">
        <v>0.9444444444444444</v>
      </c>
      <c r="S68" s="468">
        <f t="shared" si="2"/>
        <v>0</v>
      </c>
      <c r="T68" s="601"/>
      <c r="U68" s="604">
        <f>S68</f>
        <v>0</v>
      </c>
      <c r="V68" s="602"/>
      <c r="W68" s="602"/>
      <c r="X68" s="604"/>
      <c r="Y68" s="602"/>
      <c r="Z68" s="603"/>
      <c r="AA68" s="76"/>
      <c r="AB68" s="76"/>
      <c r="AC68" s="76"/>
    </row>
    <row r="69" spans="1:29" ht="15.75">
      <c r="A69" s="393"/>
      <c r="B69" s="426"/>
      <c r="C69" s="390" t="s">
        <v>414</v>
      </c>
      <c r="D69" s="390"/>
      <c r="I69" s="425">
        <f>'CUARTEL GENERAL'!H30+'CUARTEL GENERAL'!H35+'CUARTEL GENERAL'!H43+'CUARTEL GENERAL'!H48+'CUARTEL GENERAL'!H54+'CUARTEL GENERAL'!H60+'CUARTEL GENERAL'!H65+'CUARTEL GENERAL'!H70+'CUARTEL GENERAL'!H76+'CUARTEL GENERAL'!H81+'CUARTEL GENERAL'!H87</f>
        <v>0</v>
      </c>
      <c r="J69" s="408"/>
      <c r="K69" s="425">
        <v>1</v>
      </c>
      <c r="L69" s="425">
        <f>K69*(I69+J69)</f>
        <v>0</v>
      </c>
      <c r="M69" s="468">
        <f>C20</f>
        <v>0.8333333333333333</v>
      </c>
      <c r="N69" s="467">
        <f t="shared" si="0"/>
        <v>0</v>
      </c>
      <c r="O69" s="468">
        <f>G23</f>
        <v>1.0714285714285714</v>
      </c>
      <c r="P69" s="467">
        <f t="shared" si="1"/>
        <v>0</v>
      </c>
      <c r="Q69" s="468">
        <f>O46</f>
        <v>3.92</v>
      </c>
      <c r="R69" s="467">
        <v>0.8333333333333334</v>
      </c>
      <c r="S69" s="468">
        <f t="shared" si="2"/>
        <v>0</v>
      </c>
      <c r="T69" s="604">
        <f>S69</f>
        <v>0</v>
      </c>
      <c r="U69" s="604"/>
      <c r="V69" s="602"/>
      <c r="W69" s="602"/>
      <c r="Y69" s="602"/>
      <c r="Z69" s="603"/>
      <c r="AA69" s="76"/>
      <c r="AB69" s="76"/>
      <c r="AC69" s="76"/>
    </row>
    <row r="70" spans="1:29" ht="15.75">
      <c r="A70" s="393"/>
      <c r="B70" s="426"/>
      <c r="C70" s="390" t="s">
        <v>415</v>
      </c>
      <c r="D70" s="390"/>
      <c r="I70" s="425"/>
      <c r="J70" s="408"/>
      <c r="K70" s="425">
        <v>1</v>
      </c>
      <c r="L70" s="425">
        <f>K70*(I70+J70)</f>
        <v>0</v>
      </c>
      <c r="M70" s="468" t="str">
        <f>C21</f>
        <v>0.5</v>
      </c>
      <c r="N70" s="467">
        <f t="shared" si="0"/>
        <v>0</v>
      </c>
      <c r="O70" s="468">
        <f>G26</f>
        <v>0.5</v>
      </c>
      <c r="P70" s="467">
        <f t="shared" si="1"/>
        <v>0</v>
      </c>
      <c r="Q70" s="468">
        <f>K21</f>
        <v>0.09</v>
      </c>
      <c r="R70" s="467">
        <v>1</v>
      </c>
      <c r="S70" s="468">
        <f t="shared" si="2"/>
        <v>0</v>
      </c>
      <c r="T70" s="601"/>
      <c r="U70" s="604"/>
      <c r="V70" s="602"/>
      <c r="W70" s="602"/>
      <c r="X70" s="605">
        <f>S70</f>
        <v>0</v>
      </c>
      <c r="Y70" s="602"/>
      <c r="Z70" s="603"/>
      <c r="AA70" s="76"/>
      <c r="AB70" s="76"/>
      <c r="AC70" s="76"/>
    </row>
    <row r="71" spans="1:29" ht="15.75">
      <c r="A71" s="393"/>
      <c r="B71" s="426" t="s">
        <v>419</v>
      </c>
      <c r="C71" s="390"/>
      <c r="D71" s="390"/>
      <c r="I71" s="425"/>
      <c r="J71" s="408"/>
      <c r="K71" s="425"/>
      <c r="L71" s="425"/>
      <c r="M71" s="468"/>
      <c r="N71" s="467"/>
      <c r="O71" s="468"/>
      <c r="P71" s="467"/>
      <c r="Q71" s="468"/>
      <c r="R71" s="467"/>
      <c r="S71" s="468"/>
      <c r="T71" s="601"/>
      <c r="U71" s="604"/>
      <c r="V71" s="602"/>
      <c r="W71" s="602"/>
      <c r="X71" s="605"/>
      <c r="Y71" s="602"/>
      <c r="Z71" s="603"/>
      <c r="AA71" s="76"/>
      <c r="AB71" s="76"/>
      <c r="AC71" s="76"/>
    </row>
    <row r="72" spans="1:29" ht="15.75">
      <c r="A72" s="393"/>
      <c r="B72" s="426"/>
      <c r="C72" s="390" t="s">
        <v>113</v>
      </c>
      <c r="D72" s="390"/>
      <c r="I72" s="425">
        <f>'CUARTEL GENERAL'!I27+'CUARTEL GENERAL'!I40+'CUARTEL GENERAL'!I57+'CUARTEL GENERAL'!I73</f>
        <v>0</v>
      </c>
      <c r="J72" s="408"/>
      <c r="K72" s="425">
        <v>1</v>
      </c>
      <c r="L72" s="425">
        <f aca="true" t="shared" si="3" ref="L72:L78">K72*(I72+J72)</f>
        <v>0</v>
      </c>
      <c r="M72" s="467">
        <f>M61</f>
        <v>0.8333333333333333</v>
      </c>
      <c r="N72" s="467">
        <f aca="true" t="shared" si="4" ref="N72:N78">L72*M72</f>
        <v>0</v>
      </c>
      <c r="O72" s="467">
        <f>G22</f>
        <v>1.4285714285714284</v>
      </c>
      <c r="P72" s="467">
        <f aca="true" t="shared" si="5" ref="P72:P78">O72*L72</f>
        <v>0</v>
      </c>
      <c r="Q72" s="467">
        <f>Q61</f>
        <v>0.09</v>
      </c>
      <c r="R72" s="467">
        <v>0.8333333333333334</v>
      </c>
      <c r="S72" s="468">
        <f aca="true" t="shared" si="6" ref="S72:S78">L72*Q72*R72</f>
        <v>0</v>
      </c>
      <c r="T72" s="601"/>
      <c r="U72" s="602"/>
      <c r="V72" s="602"/>
      <c r="W72" s="602"/>
      <c r="X72" s="604">
        <f>S72</f>
        <v>0</v>
      </c>
      <c r="Y72" s="602"/>
      <c r="Z72" s="603"/>
      <c r="AA72" s="76"/>
      <c r="AB72" s="76"/>
      <c r="AC72" s="76"/>
    </row>
    <row r="73" spans="1:29" ht="15.75">
      <c r="A73" s="393"/>
      <c r="B73" s="426"/>
      <c r="C73" s="390" t="s">
        <v>274</v>
      </c>
      <c r="D73" s="390"/>
      <c r="I73" s="425">
        <f>'CUARTEL GENERAL'!I32+'CUARTEL GENERAL'!I33+'CUARTEL GENERAL'!I36+'CUARTEL GENERAL'!I45+'CUARTEL GENERAL'!I46+'CUARTEL GENERAL'!I49+'CUARTEL GENERAL'!I62+'CUARTEL GENERAL'!I63+'CUARTEL GENERAL'!I66+'CUARTEL GENERAL'!I78+'CUARTEL GENERAL'!I79+'CUARTEL GENERAL'!I82</f>
        <v>0</v>
      </c>
      <c r="J73" s="408"/>
      <c r="K73" s="425">
        <v>1</v>
      </c>
      <c r="L73" s="425">
        <f t="shared" si="3"/>
        <v>0</v>
      </c>
      <c r="M73" s="467">
        <f>M63</f>
        <v>0.8333333333333333</v>
      </c>
      <c r="N73" s="467">
        <f t="shared" si="4"/>
        <v>0</v>
      </c>
      <c r="O73" s="467">
        <f>G22</f>
        <v>1.4285714285714284</v>
      </c>
      <c r="P73" s="467">
        <f t="shared" si="5"/>
        <v>0</v>
      </c>
      <c r="Q73" s="467">
        <f>Q63</f>
        <v>1.39</v>
      </c>
      <c r="R73" s="467">
        <v>0.8333333333333334</v>
      </c>
      <c r="S73" s="468">
        <f t="shared" si="6"/>
        <v>0</v>
      </c>
      <c r="T73" s="601"/>
      <c r="U73" s="604">
        <f>S73</f>
        <v>0</v>
      </c>
      <c r="V73" s="602"/>
      <c r="W73" s="602"/>
      <c r="X73" s="604"/>
      <c r="Y73" s="602"/>
      <c r="Z73" s="603"/>
      <c r="AA73" s="76"/>
      <c r="AB73" s="76"/>
      <c r="AC73" s="76"/>
    </row>
    <row r="74" spans="1:29" ht="15.75">
      <c r="A74" s="393"/>
      <c r="B74" s="426"/>
      <c r="C74" s="390" t="s">
        <v>416</v>
      </c>
      <c r="D74" s="390"/>
      <c r="I74" s="425">
        <f>'CUARTEL GENERAL'!I31+'CUARTEL GENERAL'!I44+'CUARTEL GENERAL'!I61+'CUARTEL GENERAL'!I77</f>
        <v>0</v>
      </c>
      <c r="J74" s="408"/>
      <c r="K74" s="425">
        <v>1.5</v>
      </c>
      <c r="L74" s="425">
        <f t="shared" si="3"/>
        <v>0</v>
      </c>
      <c r="M74" s="467">
        <f>M64</f>
        <v>1.25</v>
      </c>
      <c r="N74" s="467">
        <f t="shared" si="4"/>
        <v>0</v>
      </c>
      <c r="O74" s="467">
        <f>G21</f>
        <v>1.7857142857142858</v>
      </c>
      <c r="P74" s="467">
        <f t="shared" si="5"/>
        <v>0</v>
      </c>
      <c r="Q74" s="467">
        <f>Q64</f>
        <v>0.09</v>
      </c>
      <c r="R74" s="467">
        <v>0.8333333333333334</v>
      </c>
      <c r="S74" s="468">
        <f t="shared" si="6"/>
        <v>0</v>
      </c>
      <c r="T74" s="601"/>
      <c r="U74" s="604"/>
      <c r="V74" s="602"/>
      <c r="W74" s="602"/>
      <c r="X74" s="604">
        <f>S74</f>
        <v>0</v>
      </c>
      <c r="Y74" s="602"/>
      <c r="Z74" s="603"/>
      <c r="AA74" s="76"/>
      <c r="AB74" s="76"/>
      <c r="AC74" s="76"/>
    </row>
    <row r="75" spans="1:29" ht="15.75">
      <c r="A75" s="393"/>
      <c r="B75" s="426"/>
      <c r="C75" s="390" t="s">
        <v>122</v>
      </c>
      <c r="D75" s="390"/>
      <c r="I75" s="425">
        <f>'CUARTEL GENERAL'!I28+'CUARTEL GENERAL'!I41+'CUARTEL GENERAL'!I58+'CUARTEL GENERAL'!I74</f>
        <v>0</v>
      </c>
      <c r="J75" s="408"/>
      <c r="K75" s="425">
        <v>2</v>
      </c>
      <c r="L75" s="425">
        <f t="shared" si="3"/>
        <v>0</v>
      </c>
      <c r="M75" s="467">
        <f>M66</f>
        <v>1.6666666666666665</v>
      </c>
      <c r="N75" s="467">
        <f t="shared" si="4"/>
        <v>0</v>
      </c>
      <c r="O75" s="467">
        <f>G20</f>
        <v>2.142857142857143</v>
      </c>
      <c r="P75" s="467">
        <f t="shared" si="5"/>
        <v>0</v>
      </c>
      <c r="Q75" s="467">
        <f>Q66</f>
        <v>0.09</v>
      </c>
      <c r="R75" s="467">
        <v>0.8333333333333334</v>
      </c>
      <c r="S75" s="468">
        <f t="shared" si="6"/>
        <v>0</v>
      </c>
      <c r="T75" s="601"/>
      <c r="U75" s="602"/>
      <c r="V75" s="602"/>
      <c r="W75" s="602"/>
      <c r="X75" s="604">
        <f>S75</f>
        <v>0</v>
      </c>
      <c r="Y75" s="602"/>
      <c r="Z75" s="603"/>
      <c r="AA75" s="76"/>
      <c r="AB75" s="76"/>
      <c r="AC75" s="76"/>
    </row>
    <row r="76" spans="1:29" ht="15.75">
      <c r="A76" s="393"/>
      <c r="B76" s="426"/>
      <c r="C76" s="390" t="s">
        <v>412</v>
      </c>
      <c r="D76" s="390"/>
      <c r="I76" s="425">
        <f>'CUARTEL GENERAL'!I29+'CUARTEL GENERAL'!I34+'CUARTEL GENERAL'!I42+'CUARTEL GENERAL'!I47+'CUARTEL GENERAL'!I59+'CUARTEL GENERAL'!I64+'CUARTEL GENERAL'!I75+'CUARTEL GENERAL'!I80</f>
        <v>0</v>
      </c>
      <c r="J76" s="408"/>
      <c r="K76" s="425">
        <v>1.5</v>
      </c>
      <c r="L76" s="425">
        <f t="shared" si="3"/>
        <v>0</v>
      </c>
      <c r="M76" s="467">
        <f>M67</f>
        <v>1.25</v>
      </c>
      <c r="N76" s="467">
        <f t="shared" si="4"/>
        <v>0</v>
      </c>
      <c r="O76" s="467">
        <f>G21</f>
        <v>1.7857142857142858</v>
      </c>
      <c r="P76" s="467">
        <f t="shared" si="5"/>
        <v>0</v>
      </c>
      <c r="Q76" s="467">
        <f>Q67</f>
        <v>1.39</v>
      </c>
      <c r="R76" s="467">
        <v>0.8333333333333334</v>
      </c>
      <c r="S76" s="468">
        <f t="shared" si="6"/>
        <v>0</v>
      </c>
      <c r="T76" s="601"/>
      <c r="U76" s="604">
        <f>S76</f>
        <v>0</v>
      </c>
      <c r="V76" s="602"/>
      <c r="W76" s="602"/>
      <c r="X76" s="604"/>
      <c r="Y76" s="602"/>
      <c r="Z76" s="603"/>
      <c r="AA76" s="76"/>
      <c r="AB76" s="76"/>
      <c r="AC76" s="76"/>
    </row>
    <row r="77" spans="1:29" ht="15.75">
      <c r="A77" s="393"/>
      <c r="B77" s="426"/>
      <c r="C77" s="390" t="s">
        <v>414</v>
      </c>
      <c r="D77" s="390"/>
      <c r="I77" s="425">
        <f>'CUARTEL GENERAL'!I30+'CUARTEL GENERAL'!I35+'CUARTEL GENERAL'!I43+'CUARTEL GENERAL'!I48+'CUARTEL GENERAL'!I60+'CUARTEL GENERAL'!I65+'CUARTEL GENERAL'!I76+'CUARTEL GENERAL'!I81</f>
        <v>0</v>
      </c>
      <c r="J77" s="408"/>
      <c r="K77" s="425">
        <v>1</v>
      </c>
      <c r="L77" s="425">
        <f t="shared" si="3"/>
        <v>0</v>
      </c>
      <c r="M77" s="467">
        <f>M69</f>
        <v>0.8333333333333333</v>
      </c>
      <c r="N77" s="467">
        <f t="shared" si="4"/>
        <v>0</v>
      </c>
      <c r="O77" s="467">
        <f>G21</f>
        <v>1.7857142857142858</v>
      </c>
      <c r="P77" s="467">
        <f t="shared" si="5"/>
        <v>0</v>
      </c>
      <c r="Q77" s="467">
        <f>Q69</f>
        <v>3.92</v>
      </c>
      <c r="R77" s="467">
        <v>0.8333333333333334</v>
      </c>
      <c r="S77" s="468">
        <f t="shared" si="6"/>
        <v>0</v>
      </c>
      <c r="T77" s="604">
        <f>S77</f>
        <v>0</v>
      </c>
      <c r="U77" s="604"/>
      <c r="V77" s="602"/>
      <c r="W77" s="602"/>
      <c r="Y77" s="602"/>
      <c r="Z77" s="603"/>
      <c r="AA77" s="76"/>
      <c r="AB77" s="76"/>
      <c r="AC77" s="76"/>
    </row>
    <row r="78" spans="1:29" ht="15.75">
      <c r="A78" s="393"/>
      <c r="B78" s="426"/>
      <c r="C78" s="390" t="s">
        <v>415</v>
      </c>
      <c r="D78" s="390"/>
      <c r="I78" s="425"/>
      <c r="J78" s="408"/>
      <c r="K78" s="425">
        <v>1</v>
      </c>
      <c r="L78" s="425">
        <f t="shared" si="3"/>
        <v>0</v>
      </c>
      <c r="M78" s="467" t="str">
        <f>M70</f>
        <v>0.5</v>
      </c>
      <c r="N78" s="467">
        <f t="shared" si="4"/>
        <v>0</v>
      </c>
      <c r="O78" s="467">
        <f>G24</f>
        <v>1</v>
      </c>
      <c r="P78" s="467">
        <f t="shared" si="5"/>
        <v>0</v>
      </c>
      <c r="Q78" s="467">
        <f>Q70</f>
        <v>0.09</v>
      </c>
      <c r="R78" s="467">
        <v>1</v>
      </c>
      <c r="S78" s="468">
        <f t="shared" si="6"/>
        <v>0</v>
      </c>
      <c r="T78" s="601"/>
      <c r="U78" s="604"/>
      <c r="V78" s="602"/>
      <c r="W78" s="602"/>
      <c r="X78" s="605">
        <f>S78</f>
        <v>0</v>
      </c>
      <c r="Y78" s="602"/>
      <c r="Z78" s="603"/>
      <c r="AA78" s="76"/>
      <c r="AB78" s="76"/>
      <c r="AC78" s="76"/>
    </row>
    <row r="79" spans="1:29" ht="15.75">
      <c r="A79" s="393"/>
      <c r="B79" s="426" t="s">
        <v>421</v>
      </c>
      <c r="C79" s="390"/>
      <c r="D79" s="390"/>
      <c r="I79" s="425"/>
      <c r="J79" s="408"/>
      <c r="K79" s="425"/>
      <c r="L79" s="425"/>
      <c r="M79" s="467"/>
      <c r="N79" s="467"/>
      <c r="O79" s="467"/>
      <c r="P79" s="467"/>
      <c r="Q79" s="467"/>
      <c r="R79" s="467"/>
      <c r="S79" s="468"/>
      <c r="T79" s="601"/>
      <c r="U79" s="604"/>
      <c r="V79" s="602"/>
      <c r="W79" s="602"/>
      <c r="X79" s="605"/>
      <c r="Y79" s="602"/>
      <c r="Z79" s="603"/>
      <c r="AA79" s="76"/>
      <c r="AB79" s="76"/>
      <c r="AC79" s="76"/>
    </row>
    <row r="80" spans="1:29" ht="15.75">
      <c r="A80" s="393"/>
      <c r="B80" s="426"/>
      <c r="C80" s="390" t="s">
        <v>122</v>
      </c>
      <c r="D80" s="390"/>
      <c r="I80" s="425"/>
      <c r="J80" s="408"/>
      <c r="K80" s="425">
        <v>2</v>
      </c>
      <c r="L80" s="425">
        <f>K80*(I80+J80)</f>
        <v>0</v>
      </c>
      <c r="M80" s="467">
        <f>C18</f>
        <v>1.6666666666666665</v>
      </c>
      <c r="N80" s="467">
        <f>L80*M80</f>
        <v>0</v>
      </c>
      <c r="O80" s="467">
        <f>G20</f>
        <v>2.142857142857143</v>
      </c>
      <c r="P80" s="467">
        <f>O80*L80</f>
        <v>0</v>
      </c>
      <c r="Q80" s="467">
        <f>K21</f>
        <v>0.09</v>
      </c>
      <c r="R80" s="467">
        <v>0.9444444444444444</v>
      </c>
      <c r="S80" s="468">
        <f>L80*Q80*R80</f>
        <v>0</v>
      </c>
      <c r="T80" s="601"/>
      <c r="U80" s="604"/>
      <c r="V80" s="602"/>
      <c r="W80" s="602"/>
      <c r="X80" s="605">
        <f>S80</f>
        <v>0</v>
      </c>
      <c r="Y80" s="602"/>
      <c r="Z80" s="603"/>
      <c r="AA80" s="76"/>
      <c r="AB80" s="76"/>
      <c r="AC80" s="76"/>
    </row>
    <row r="81" spans="1:29" ht="15.75">
      <c r="A81" s="393"/>
      <c r="B81" s="426"/>
      <c r="C81" s="390" t="s">
        <v>294</v>
      </c>
      <c r="D81" s="390"/>
      <c r="I81" s="425"/>
      <c r="J81" s="408">
        <f>'CUARTEL GENERAL'!E17</f>
        <v>0</v>
      </c>
      <c r="K81" s="425">
        <v>1</v>
      </c>
      <c r="L81" s="425">
        <f>K81*(I81+J81)</f>
        <v>0</v>
      </c>
      <c r="M81" s="467">
        <f>C16</f>
        <v>2.5</v>
      </c>
      <c r="N81" s="467">
        <f>L81*M81</f>
        <v>0</v>
      </c>
      <c r="O81" s="467">
        <f>G18</f>
        <v>2.8571428571428568</v>
      </c>
      <c r="P81" s="467">
        <f>O81*L81</f>
        <v>0</v>
      </c>
      <c r="Q81" s="467">
        <f>K18</f>
        <v>1.39</v>
      </c>
      <c r="R81" s="467">
        <v>0.5092592592592593</v>
      </c>
      <c r="S81" s="468">
        <f>L81*Q81*R81</f>
        <v>0</v>
      </c>
      <c r="T81" s="601"/>
      <c r="U81" s="604">
        <f>S81</f>
        <v>0</v>
      </c>
      <c r="V81" s="602"/>
      <c r="W81" s="602"/>
      <c r="X81" s="605"/>
      <c r="Y81" s="602"/>
      <c r="Z81" s="603"/>
      <c r="AA81" s="76"/>
      <c r="AB81" s="76"/>
      <c r="AC81" s="76"/>
    </row>
    <row r="82" spans="1:29" ht="15.75">
      <c r="A82" s="393"/>
      <c r="B82" s="426"/>
      <c r="C82" s="390" t="s">
        <v>422</v>
      </c>
      <c r="D82" s="390"/>
      <c r="I82" s="425"/>
      <c r="J82" s="408">
        <f>'CUARTEL GENERAL'!E18</f>
        <v>0</v>
      </c>
      <c r="K82" s="425">
        <v>4</v>
      </c>
      <c r="L82" s="425">
        <f>K82*(I82+J82)</f>
        <v>0</v>
      </c>
      <c r="M82" s="467">
        <f>C18</f>
        <v>1.6666666666666665</v>
      </c>
      <c r="N82" s="467">
        <f>L82*M82</f>
        <v>0</v>
      </c>
      <c r="O82" s="467">
        <f>G21</f>
        <v>1.7857142857142858</v>
      </c>
      <c r="P82" s="467">
        <f>O82*L82</f>
        <v>0</v>
      </c>
      <c r="Q82" s="467">
        <f>O19</f>
        <v>1.06</v>
      </c>
      <c r="R82" s="467">
        <v>0.9444444444444444</v>
      </c>
      <c r="S82" s="468">
        <f>L82*Q82*R82</f>
        <v>0</v>
      </c>
      <c r="T82" s="601"/>
      <c r="U82" s="604">
        <f>S82*1/6</f>
        <v>0</v>
      </c>
      <c r="V82" s="602"/>
      <c r="W82" s="605">
        <f>S82*5/6</f>
        <v>0</v>
      </c>
      <c r="X82" s="605"/>
      <c r="Y82" s="602"/>
      <c r="Z82" s="603"/>
      <c r="AA82" s="76"/>
      <c r="AB82" s="76"/>
      <c r="AC82" s="76"/>
    </row>
    <row r="83" spans="1:29" ht="15.75">
      <c r="A83" s="393"/>
      <c r="B83" s="426"/>
      <c r="C83" s="390" t="s">
        <v>296</v>
      </c>
      <c r="D83" s="390"/>
      <c r="I83" s="425"/>
      <c r="J83" s="408">
        <f>'CUARTEL GENERAL'!E18</f>
        <v>0</v>
      </c>
      <c r="K83" s="425">
        <v>3</v>
      </c>
      <c r="L83" s="425">
        <f>K83*(I83+J83)</f>
        <v>0</v>
      </c>
      <c r="M83" s="467">
        <f>C16</f>
        <v>2.5</v>
      </c>
      <c r="N83" s="467">
        <f>L83*M83</f>
        <v>0</v>
      </c>
      <c r="O83" s="467">
        <f>G19</f>
        <v>2.5</v>
      </c>
      <c r="P83" s="467">
        <f>O83*L83</f>
        <v>0</v>
      </c>
      <c r="Q83" s="467">
        <f>K20</f>
        <v>0.37</v>
      </c>
      <c r="R83" s="467">
        <v>0.9444444444444444</v>
      </c>
      <c r="S83" s="468">
        <f>L83*Q83*R83</f>
        <v>0</v>
      </c>
      <c r="T83" s="601"/>
      <c r="U83" s="604"/>
      <c r="V83" s="602"/>
      <c r="W83" s="604">
        <f>S83</f>
        <v>0</v>
      </c>
      <c r="X83" s="605"/>
      <c r="Y83" s="602"/>
      <c r="Z83" s="603"/>
      <c r="AA83" s="76"/>
      <c r="AB83" s="76"/>
      <c r="AC83" s="76"/>
    </row>
    <row r="84" spans="1:29" ht="15.75">
      <c r="A84" s="393">
        <v>2</v>
      </c>
      <c r="B84" s="424" t="s">
        <v>420</v>
      </c>
      <c r="C84" s="390"/>
      <c r="D84" s="390"/>
      <c r="I84" s="425"/>
      <c r="J84" s="408"/>
      <c r="K84" s="425"/>
      <c r="L84" s="425"/>
      <c r="M84" s="467"/>
      <c r="N84" s="467"/>
      <c r="O84" s="467"/>
      <c r="P84" s="467"/>
      <c r="Q84" s="467"/>
      <c r="R84" s="467"/>
      <c r="S84" s="468"/>
      <c r="T84" s="601"/>
      <c r="U84" s="602"/>
      <c r="V84" s="602"/>
      <c r="W84" s="602"/>
      <c r="X84" s="602"/>
      <c r="Y84" s="602"/>
      <c r="Z84" s="603"/>
      <c r="AA84" s="76"/>
      <c r="AB84" s="76"/>
      <c r="AC84" s="76"/>
    </row>
    <row r="85" spans="1:29" ht="15.75">
      <c r="A85" s="393"/>
      <c r="B85" s="424"/>
      <c r="C85" s="390" t="s">
        <v>113</v>
      </c>
      <c r="D85" s="390"/>
      <c r="I85" s="425">
        <f>'CUARTEL GENERAL'!H92</f>
        <v>0</v>
      </c>
      <c r="J85" s="408"/>
      <c r="K85" s="425">
        <v>1</v>
      </c>
      <c r="L85" s="425">
        <f aca="true" t="shared" si="7" ref="L85:L90">K85*(I85+J85)</f>
        <v>0</v>
      </c>
      <c r="M85" s="425">
        <f>M72</f>
        <v>0.8333333333333333</v>
      </c>
      <c r="N85" s="467">
        <f aca="true" t="shared" si="8" ref="N85:N90">L85*M85</f>
        <v>0</v>
      </c>
      <c r="O85" s="468">
        <f>G23</f>
        <v>1.0714285714285714</v>
      </c>
      <c r="P85" s="467">
        <f aca="true" t="shared" si="9" ref="P85:P90">O85*L85</f>
        <v>0</v>
      </c>
      <c r="Q85" s="425">
        <f>Q72</f>
        <v>0.09</v>
      </c>
      <c r="R85" s="468">
        <v>0.6666666666666666</v>
      </c>
      <c r="S85" s="468">
        <f aca="true" t="shared" si="10" ref="S85:S90">L85*Q85*R85</f>
        <v>0</v>
      </c>
      <c r="T85" s="601"/>
      <c r="U85" s="602"/>
      <c r="V85" s="602"/>
      <c r="W85" s="602"/>
      <c r="X85" s="604">
        <f>S85</f>
        <v>0</v>
      </c>
      <c r="Y85" s="602"/>
      <c r="Z85" s="603"/>
      <c r="AA85" s="76"/>
      <c r="AB85" s="76"/>
      <c r="AC85" s="76"/>
    </row>
    <row r="86" spans="1:29" ht="15.75">
      <c r="A86" s="393"/>
      <c r="B86" s="424"/>
      <c r="C86" s="390" t="s">
        <v>274</v>
      </c>
      <c r="D86" s="390"/>
      <c r="I86" s="425">
        <f>'CUARTEL GENERAL'!H94+'CUARTEL GENERAL'!H96+'CUARTEL GENERAL'!H100</f>
        <v>0</v>
      </c>
      <c r="J86" s="408"/>
      <c r="K86" s="425">
        <v>1</v>
      </c>
      <c r="L86" s="425">
        <f t="shared" si="7"/>
        <v>0</v>
      </c>
      <c r="M86" s="425">
        <f>M73</f>
        <v>0.8333333333333333</v>
      </c>
      <c r="N86" s="467">
        <f t="shared" si="8"/>
        <v>0</v>
      </c>
      <c r="O86" s="468">
        <f>G23</f>
        <v>1.0714285714285714</v>
      </c>
      <c r="P86" s="467">
        <f t="shared" si="9"/>
        <v>0</v>
      </c>
      <c r="Q86" s="425">
        <f>Q73</f>
        <v>1.39</v>
      </c>
      <c r="R86" s="468">
        <v>0.6666666666666666</v>
      </c>
      <c r="S86" s="468">
        <f t="shared" si="10"/>
        <v>0</v>
      </c>
      <c r="T86" s="601"/>
      <c r="U86" s="604">
        <f>S86</f>
        <v>0</v>
      </c>
      <c r="V86" s="602"/>
      <c r="W86" s="602"/>
      <c r="X86" s="604"/>
      <c r="Y86" s="602"/>
      <c r="Z86" s="603"/>
      <c r="AA86" s="76"/>
      <c r="AB86" s="76"/>
      <c r="AC86" s="76"/>
    </row>
    <row r="87" spans="1:29" ht="15.75">
      <c r="A87" s="393"/>
      <c r="B87" s="424"/>
      <c r="C87" s="390" t="s">
        <v>416</v>
      </c>
      <c r="D87" s="390"/>
      <c r="I87" s="425">
        <f>'CUARTEL GENERAL'!H93+'CUARTEL GENERAL'!H95+'CUARTEL GENERAL'!H103</f>
        <v>0</v>
      </c>
      <c r="J87" s="408"/>
      <c r="K87" s="425">
        <v>1.5</v>
      </c>
      <c r="L87" s="425">
        <f t="shared" si="7"/>
        <v>0</v>
      </c>
      <c r="M87" s="425">
        <f>M74</f>
        <v>1.25</v>
      </c>
      <c r="N87" s="467">
        <f t="shared" si="8"/>
        <v>0</v>
      </c>
      <c r="O87" s="468">
        <f>G22</f>
        <v>1.4285714285714284</v>
      </c>
      <c r="P87" s="467">
        <f t="shared" si="9"/>
        <v>0</v>
      </c>
      <c r="Q87" s="425">
        <f>Q74</f>
        <v>0.09</v>
      </c>
      <c r="R87" s="468">
        <v>0.6666666666666666</v>
      </c>
      <c r="S87" s="468">
        <f t="shared" si="10"/>
        <v>0</v>
      </c>
      <c r="T87" s="601"/>
      <c r="U87" s="604"/>
      <c r="V87" s="602"/>
      <c r="W87" s="602"/>
      <c r="X87" s="604">
        <f>S87</f>
        <v>0</v>
      </c>
      <c r="Y87" s="602"/>
      <c r="Z87" s="603"/>
      <c r="AA87" s="76"/>
      <c r="AB87" s="76"/>
      <c r="AC87" s="76"/>
    </row>
    <row r="88" spans="1:29" ht="15.75">
      <c r="A88" s="393"/>
      <c r="B88" s="424"/>
      <c r="C88" s="390" t="s">
        <v>426</v>
      </c>
      <c r="D88" s="390"/>
      <c r="I88" s="425">
        <f>'CUARTEL GENERAL'!H99+'CUARTEL GENERAL'!H102+'CUARTEL GENERAL'!H105</f>
        <v>0</v>
      </c>
      <c r="J88" s="408"/>
      <c r="K88" s="425">
        <v>1.5</v>
      </c>
      <c r="L88" s="425">
        <f t="shared" si="7"/>
        <v>0</v>
      </c>
      <c r="M88" s="425">
        <f>M76</f>
        <v>1.25</v>
      </c>
      <c r="N88" s="467">
        <f t="shared" si="8"/>
        <v>0</v>
      </c>
      <c r="O88" s="468">
        <f>G22</f>
        <v>1.4285714285714284</v>
      </c>
      <c r="P88" s="467">
        <f t="shared" si="9"/>
        <v>0</v>
      </c>
      <c r="Q88" s="425">
        <f>Q76</f>
        <v>1.39</v>
      </c>
      <c r="R88" s="468">
        <v>0.6666666666666666</v>
      </c>
      <c r="S88" s="468">
        <f t="shared" si="10"/>
        <v>0</v>
      </c>
      <c r="T88" s="601"/>
      <c r="U88" s="604">
        <f>S88</f>
        <v>0</v>
      </c>
      <c r="V88" s="602"/>
      <c r="W88" s="602"/>
      <c r="X88" s="604"/>
      <c r="Y88" s="602"/>
      <c r="Z88" s="603"/>
      <c r="AA88" s="76"/>
      <c r="AB88" s="76"/>
      <c r="AC88" s="76"/>
    </row>
    <row r="89" spans="1:29" ht="15.75">
      <c r="A89" s="393"/>
      <c r="B89" s="424"/>
      <c r="C89" s="390" t="s">
        <v>427</v>
      </c>
      <c r="D89" s="390"/>
      <c r="I89" s="425">
        <f>'CUARTEL GENERAL'!H98+'CUARTEL GENERAL'!H101+'CUARTEL GENERAL'!H104</f>
        <v>0</v>
      </c>
      <c r="J89" s="408"/>
      <c r="K89" s="425">
        <v>1</v>
      </c>
      <c r="L89" s="425">
        <f t="shared" si="7"/>
        <v>0</v>
      </c>
      <c r="M89" s="425">
        <f>M77</f>
        <v>0.8333333333333333</v>
      </c>
      <c r="N89" s="467">
        <f t="shared" si="8"/>
        <v>0</v>
      </c>
      <c r="O89" s="468">
        <f>G23</f>
        <v>1.0714285714285714</v>
      </c>
      <c r="P89" s="467">
        <f t="shared" si="9"/>
        <v>0</v>
      </c>
      <c r="Q89" s="425">
        <f>Q77</f>
        <v>3.92</v>
      </c>
      <c r="R89" s="468">
        <v>0.6666666666666666</v>
      </c>
      <c r="S89" s="468">
        <f t="shared" si="10"/>
        <v>0</v>
      </c>
      <c r="T89" s="604">
        <f>S89</f>
        <v>0</v>
      </c>
      <c r="U89" s="604"/>
      <c r="V89" s="602"/>
      <c r="W89" s="602"/>
      <c r="Y89" s="602"/>
      <c r="Z89" s="603"/>
      <c r="AA89" s="76"/>
      <c r="AB89" s="76"/>
      <c r="AC89" s="76"/>
    </row>
    <row r="90" spans="1:29" ht="16.5" thickBot="1">
      <c r="A90" s="393"/>
      <c r="B90" s="426"/>
      <c r="C90" s="390" t="s">
        <v>280</v>
      </c>
      <c r="D90" s="390"/>
      <c r="I90" s="425">
        <f>'CUARTEL GENERAL'!H97</f>
        <v>0</v>
      </c>
      <c r="J90" s="408"/>
      <c r="K90" s="425">
        <v>1</v>
      </c>
      <c r="L90" s="425">
        <f t="shared" si="7"/>
        <v>0</v>
      </c>
      <c r="M90" s="425" t="str">
        <f>M78</f>
        <v>0.5</v>
      </c>
      <c r="N90" s="467">
        <f t="shared" si="8"/>
        <v>0</v>
      </c>
      <c r="O90" s="425">
        <f>O78</f>
        <v>1</v>
      </c>
      <c r="P90" s="467">
        <f t="shared" si="9"/>
        <v>0</v>
      </c>
      <c r="Q90" s="425">
        <f>Q78</f>
        <v>0.09</v>
      </c>
      <c r="R90" s="425">
        <v>1</v>
      </c>
      <c r="S90" s="468">
        <f t="shared" si="10"/>
        <v>0</v>
      </c>
      <c r="T90" s="601"/>
      <c r="U90" s="604"/>
      <c r="V90" s="602"/>
      <c r="W90" s="602"/>
      <c r="X90" s="605">
        <f>S90</f>
        <v>0</v>
      </c>
      <c r="Y90" s="602"/>
      <c r="Z90" s="603"/>
      <c r="AA90" s="76"/>
      <c r="AB90" s="76"/>
      <c r="AC90" s="76"/>
    </row>
    <row r="91" spans="1:29" ht="13.5" thickBot="1">
      <c r="A91" s="389"/>
      <c r="B91" s="388" t="s">
        <v>13</v>
      </c>
      <c r="C91" s="398"/>
      <c r="D91" s="398"/>
      <c r="E91" s="398"/>
      <c r="F91" s="398"/>
      <c r="G91" s="398"/>
      <c r="H91" s="428"/>
      <c r="I91" s="381">
        <f>SUM(I92:I109)</f>
        <v>0</v>
      </c>
      <c r="J91" s="381">
        <f>SUM(J92:J109)</f>
        <v>0</v>
      </c>
      <c r="K91" s="381"/>
      <c r="L91" s="381">
        <f>SUM(L92:L109)</f>
        <v>0</v>
      </c>
      <c r="M91" s="436">
        <f>SUM(M92:M109)</f>
        <v>32.5</v>
      </c>
      <c r="N91" s="436">
        <f>SUM(N92:N109)</f>
        <v>0</v>
      </c>
      <c r="O91" s="436">
        <f>SUM(O92:O109)</f>
        <v>15.500000000000002</v>
      </c>
      <c r="P91" s="436">
        <f>SUM(P92:P109)</f>
        <v>0</v>
      </c>
      <c r="Q91" s="436"/>
      <c r="R91" s="436"/>
      <c r="S91" s="471">
        <f>SUM(S92:S109)</f>
        <v>0</v>
      </c>
      <c r="T91" s="601"/>
      <c r="U91" s="602"/>
      <c r="V91" s="602"/>
      <c r="W91" s="602"/>
      <c r="X91" s="602"/>
      <c r="Y91" s="602"/>
      <c r="Z91" s="603"/>
      <c r="AA91" s="76"/>
      <c r="AB91" s="76"/>
      <c r="AC91" s="76"/>
    </row>
    <row r="92" spans="1:29" ht="15.75">
      <c r="A92" s="393">
        <v>1</v>
      </c>
      <c r="B92" s="424" t="s">
        <v>425</v>
      </c>
      <c r="C92" s="390"/>
      <c r="D92" s="390"/>
      <c r="I92" s="425"/>
      <c r="J92" s="408"/>
      <c r="K92" s="425"/>
      <c r="L92" s="425"/>
      <c r="M92" s="467"/>
      <c r="N92" s="467"/>
      <c r="O92" s="467"/>
      <c r="P92" s="467"/>
      <c r="Q92" s="467"/>
      <c r="R92" s="467"/>
      <c r="S92" s="507"/>
      <c r="T92" s="607"/>
      <c r="U92" s="602"/>
      <c r="V92" s="602"/>
      <c r="W92" s="602"/>
      <c r="X92" s="602"/>
      <c r="Y92" s="602"/>
      <c r="Z92" s="603"/>
      <c r="AA92" s="76"/>
      <c r="AB92" s="76"/>
      <c r="AC92" s="76"/>
    </row>
    <row r="93" spans="1:29" ht="15.75">
      <c r="A93" s="393"/>
      <c r="B93" s="424"/>
      <c r="C93" s="390" t="s">
        <v>113</v>
      </c>
      <c r="D93" s="390"/>
      <c r="I93" s="425">
        <f>LINEA!H6</f>
        <v>0</v>
      </c>
      <c r="J93" s="408"/>
      <c r="K93" s="425">
        <v>1</v>
      </c>
      <c r="L93" s="425">
        <f aca="true" t="shared" si="11" ref="L93:L103">K93*(I93+J93)</f>
        <v>0</v>
      </c>
      <c r="M93" s="425">
        <f>M61</f>
        <v>0.8333333333333333</v>
      </c>
      <c r="N93" s="467">
        <f aca="true" t="shared" si="12" ref="N93:N103">L93*M93</f>
        <v>0</v>
      </c>
      <c r="O93" s="425">
        <f>O61</f>
        <v>1.0714285714285714</v>
      </c>
      <c r="P93" s="467">
        <f aca="true" t="shared" si="13" ref="P93:P103">O93*L93</f>
        <v>0</v>
      </c>
      <c r="Q93" s="425">
        <f>Q61</f>
        <v>0.09</v>
      </c>
      <c r="R93" s="468">
        <v>0.6666666666666666</v>
      </c>
      <c r="S93" s="467">
        <f aca="true" t="shared" si="14" ref="S93:S103">L93*Q93*R93</f>
        <v>0</v>
      </c>
      <c r="T93" s="607"/>
      <c r="U93" s="602"/>
      <c r="V93" s="602"/>
      <c r="W93" s="602"/>
      <c r="X93" s="604">
        <f>S93</f>
        <v>0</v>
      </c>
      <c r="Y93" s="602"/>
      <c r="Z93" s="603"/>
      <c r="AA93" s="76"/>
      <c r="AB93" s="76"/>
      <c r="AC93" s="76"/>
    </row>
    <row r="94" spans="1:29" ht="15.75">
      <c r="A94" s="393"/>
      <c r="B94" s="424"/>
      <c r="C94" s="390" t="s">
        <v>274</v>
      </c>
      <c r="D94" s="390"/>
      <c r="I94" s="425">
        <f>LINEA!H7</f>
        <v>0</v>
      </c>
      <c r="J94" s="408"/>
      <c r="K94" s="425">
        <v>1</v>
      </c>
      <c r="L94" s="425">
        <f t="shared" si="11"/>
        <v>0</v>
      </c>
      <c r="M94" s="425">
        <f>M63</f>
        <v>0.8333333333333333</v>
      </c>
      <c r="N94" s="467">
        <f t="shared" si="12"/>
        <v>0</v>
      </c>
      <c r="O94" s="425">
        <f>O63</f>
        <v>1.0714285714285714</v>
      </c>
      <c r="P94" s="467">
        <f t="shared" si="13"/>
        <v>0</v>
      </c>
      <c r="Q94" s="425">
        <f>Q63</f>
        <v>1.39</v>
      </c>
      <c r="R94" s="468">
        <v>0.6666666666666666</v>
      </c>
      <c r="S94" s="467">
        <f t="shared" si="14"/>
        <v>0</v>
      </c>
      <c r="T94" s="607"/>
      <c r="U94" s="604">
        <f>S94</f>
        <v>0</v>
      </c>
      <c r="V94" s="602"/>
      <c r="W94" s="602"/>
      <c r="X94" s="604"/>
      <c r="Y94" s="602"/>
      <c r="Z94" s="603"/>
      <c r="AA94" s="76"/>
      <c r="AB94" s="76"/>
      <c r="AC94" s="76"/>
    </row>
    <row r="95" spans="1:29" ht="15.75">
      <c r="A95" s="393"/>
      <c r="B95" s="424"/>
      <c r="C95" s="390" t="s">
        <v>416</v>
      </c>
      <c r="D95" s="390"/>
      <c r="I95" s="425">
        <f>LINEA!H5</f>
        <v>0</v>
      </c>
      <c r="J95" s="408"/>
      <c r="K95" s="425">
        <v>1.5</v>
      </c>
      <c r="L95" s="425">
        <f t="shared" si="11"/>
        <v>0</v>
      </c>
      <c r="M95" s="425">
        <f>M64</f>
        <v>1.25</v>
      </c>
      <c r="N95" s="467">
        <f t="shared" si="12"/>
        <v>0</v>
      </c>
      <c r="O95" s="425">
        <f>O64</f>
        <v>1.4285714285714284</v>
      </c>
      <c r="P95" s="467">
        <f t="shared" si="13"/>
        <v>0</v>
      </c>
      <c r="Q95" s="425">
        <f>Q64</f>
        <v>0.09</v>
      </c>
      <c r="R95" s="468">
        <v>0.6666666666666666</v>
      </c>
      <c r="S95" s="467">
        <f t="shared" si="14"/>
        <v>0</v>
      </c>
      <c r="T95" s="607"/>
      <c r="U95" s="604"/>
      <c r="V95" s="602"/>
      <c r="W95" s="602"/>
      <c r="X95" s="604">
        <f>S95</f>
        <v>0</v>
      </c>
      <c r="Y95" s="602"/>
      <c r="Z95" s="603"/>
      <c r="AA95" s="76"/>
      <c r="AB95" s="76"/>
      <c r="AC95" s="76"/>
    </row>
    <row r="96" spans="1:29" ht="15.75">
      <c r="A96" s="393"/>
      <c r="B96" s="424"/>
      <c r="C96" s="390" t="s">
        <v>426</v>
      </c>
      <c r="D96" s="390"/>
      <c r="I96" s="425">
        <f>LINEA!H10</f>
        <v>0</v>
      </c>
      <c r="J96" s="408"/>
      <c r="K96" s="425">
        <v>1.5</v>
      </c>
      <c r="L96" s="425">
        <f t="shared" si="11"/>
        <v>0</v>
      </c>
      <c r="M96" s="425">
        <f>M67</f>
        <v>1.25</v>
      </c>
      <c r="N96" s="467">
        <f t="shared" si="12"/>
        <v>0</v>
      </c>
      <c r="O96" s="425">
        <f>O67</f>
        <v>1.4285714285714284</v>
      </c>
      <c r="P96" s="467">
        <f t="shared" si="13"/>
        <v>0</v>
      </c>
      <c r="Q96" s="425">
        <f>Q67</f>
        <v>1.39</v>
      </c>
      <c r="R96" s="468">
        <v>0.6666666666666666</v>
      </c>
      <c r="S96" s="467">
        <f t="shared" si="14"/>
        <v>0</v>
      </c>
      <c r="T96" s="607"/>
      <c r="U96" s="604">
        <f>S96</f>
        <v>0</v>
      </c>
      <c r="V96" s="602"/>
      <c r="W96" s="602"/>
      <c r="X96" s="604"/>
      <c r="Y96" s="602"/>
      <c r="Z96" s="603"/>
      <c r="AA96" s="76"/>
      <c r="AB96" s="76"/>
      <c r="AC96" s="76"/>
    </row>
    <row r="97" spans="1:29" ht="15.75">
      <c r="A97" s="393"/>
      <c r="B97" s="424"/>
      <c r="C97" s="390" t="s">
        <v>427</v>
      </c>
      <c r="D97" s="390"/>
      <c r="I97" s="425">
        <f>LINEA!H9</f>
        <v>0</v>
      </c>
      <c r="J97" s="408"/>
      <c r="K97" s="425">
        <v>1</v>
      </c>
      <c r="L97" s="425">
        <f t="shared" si="11"/>
        <v>0</v>
      </c>
      <c r="M97" s="425">
        <f>M69</f>
        <v>0.8333333333333333</v>
      </c>
      <c r="N97" s="467">
        <f t="shared" si="12"/>
        <v>0</v>
      </c>
      <c r="O97" s="425">
        <f>O69</f>
        <v>1.0714285714285714</v>
      </c>
      <c r="P97" s="467">
        <f t="shared" si="13"/>
        <v>0</v>
      </c>
      <c r="Q97" s="425">
        <f>Q69</f>
        <v>3.92</v>
      </c>
      <c r="R97" s="468">
        <v>0.6666666666666666</v>
      </c>
      <c r="S97" s="467">
        <f t="shared" si="14"/>
        <v>0</v>
      </c>
      <c r="T97" s="608">
        <f>S97</f>
        <v>0</v>
      </c>
      <c r="U97" s="604"/>
      <c r="V97" s="602"/>
      <c r="W97" s="602"/>
      <c r="Y97" s="602"/>
      <c r="Z97" s="603"/>
      <c r="AA97" s="76"/>
      <c r="AB97" s="76"/>
      <c r="AC97" s="76"/>
    </row>
    <row r="98" spans="1:29" ht="15.75">
      <c r="A98" s="393"/>
      <c r="B98" s="426"/>
      <c r="C98" s="390" t="s">
        <v>280</v>
      </c>
      <c r="D98" s="390"/>
      <c r="I98" s="425">
        <f>LINEA!H8</f>
        <v>0</v>
      </c>
      <c r="J98" s="408"/>
      <c r="K98" s="425">
        <v>1</v>
      </c>
      <c r="L98" s="425">
        <f t="shared" si="11"/>
        <v>0</v>
      </c>
      <c r="M98" s="425" t="str">
        <f>M70</f>
        <v>0.5</v>
      </c>
      <c r="N98" s="467">
        <f t="shared" si="12"/>
        <v>0</v>
      </c>
      <c r="O98" s="425">
        <f>O70</f>
        <v>0.5</v>
      </c>
      <c r="P98" s="467">
        <f t="shared" si="13"/>
        <v>0</v>
      </c>
      <c r="Q98" s="425">
        <f>Q70</f>
        <v>0.09</v>
      </c>
      <c r="R98" s="425">
        <v>1</v>
      </c>
      <c r="S98" s="467">
        <f t="shared" si="14"/>
        <v>0</v>
      </c>
      <c r="T98" s="607"/>
      <c r="U98" s="604"/>
      <c r="V98" s="602"/>
      <c r="W98" s="602"/>
      <c r="X98" s="605">
        <f>S98</f>
        <v>0</v>
      </c>
      <c r="Y98" s="602"/>
      <c r="Z98" s="603"/>
      <c r="AA98" s="76"/>
      <c r="AB98" s="76"/>
      <c r="AC98" s="76"/>
    </row>
    <row r="99" spans="1:29" ht="12.75">
      <c r="A99" s="393"/>
      <c r="B99" s="390"/>
      <c r="C99" s="390" t="s">
        <v>309</v>
      </c>
      <c r="D99" s="390"/>
      <c r="I99" s="425">
        <f>LINEA!H11</f>
        <v>0</v>
      </c>
      <c r="J99" s="408"/>
      <c r="K99" s="425">
        <v>3</v>
      </c>
      <c r="L99" s="425">
        <f t="shared" si="11"/>
        <v>0</v>
      </c>
      <c r="M99" s="467">
        <f>C16</f>
        <v>2.5</v>
      </c>
      <c r="N99" s="467">
        <f t="shared" si="12"/>
        <v>0</v>
      </c>
      <c r="O99" s="467">
        <f>$G$27</f>
        <v>0</v>
      </c>
      <c r="P99" s="467">
        <f t="shared" si="13"/>
        <v>0</v>
      </c>
      <c r="Q99" s="467">
        <f>K20</f>
        <v>0.37</v>
      </c>
      <c r="R99" s="467">
        <v>0.6666666666666666</v>
      </c>
      <c r="S99" s="467">
        <f t="shared" si="14"/>
        <v>0</v>
      </c>
      <c r="T99" s="607"/>
      <c r="V99" s="602"/>
      <c r="W99" s="604">
        <f>S99</f>
        <v>0</v>
      </c>
      <c r="X99" s="602"/>
      <c r="Y99" s="602"/>
      <c r="Z99" s="603"/>
      <c r="AA99" s="76"/>
      <c r="AB99" s="76"/>
      <c r="AC99" s="76"/>
    </row>
    <row r="100" spans="1:29" ht="12.75">
      <c r="A100" s="393"/>
      <c r="B100" s="390"/>
      <c r="C100" s="390" t="s">
        <v>429</v>
      </c>
      <c r="D100" s="390"/>
      <c r="I100" s="425">
        <f>LINEA!H12</f>
        <v>0</v>
      </c>
      <c r="J100" s="408"/>
      <c r="K100" s="425">
        <v>1</v>
      </c>
      <c r="L100" s="425">
        <f t="shared" si="11"/>
        <v>0</v>
      </c>
      <c r="M100" s="467">
        <f>C18</f>
        <v>1.6666666666666665</v>
      </c>
      <c r="N100" s="467">
        <f t="shared" si="12"/>
        <v>0</v>
      </c>
      <c r="O100" s="467">
        <f>$G$27</f>
        <v>0</v>
      </c>
      <c r="P100" s="467">
        <f t="shared" si="13"/>
        <v>0</v>
      </c>
      <c r="Q100" s="467">
        <f>O46</f>
        <v>3.92</v>
      </c>
      <c r="R100" s="467">
        <v>0.6666666666666666</v>
      </c>
      <c r="S100" s="467">
        <f t="shared" si="14"/>
        <v>0</v>
      </c>
      <c r="T100" s="608">
        <f>S100</f>
        <v>0</v>
      </c>
      <c r="U100" s="604"/>
      <c r="V100" s="602"/>
      <c r="W100" s="602"/>
      <c r="X100" s="602"/>
      <c r="Y100" s="602"/>
      <c r="Z100" s="603"/>
      <c r="AA100" s="76"/>
      <c r="AB100" s="76"/>
      <c r="AC100" s="76"/>
    </row>
    <row r="101" spans="1:29" ht="12.75">
      <c r="A101" s="393"/>
      <c r="B101" s="390"/>
      <c r="C101" s="390" t="s">
        <v>428</v>
      </c>
      <c r="D101" s="390"/>
      <c r="I101" s="425">
        <f>LINEA!H13</f>
        <v>0</v>
      </c>
      <c r="J101" s="408"/>
      <c r="K101" s="425">
        <v>1</v>
      </c>
      <c r="L101" s="425">
        <f t="shared" si="11"/>
        <v>0</v>
      </c>
      <c r="M101" s="467">
        <f>C16</f>
        <v>2.5</v>
      </c>
      <c r="N101" s="467">
        <f t="shared" si="12"/>
        <v>0</v>
      </c>
      <c r="O101" s="467">
        <f>$G$27</f>
        <v>0</v>
      </c>
      <c r="P101" s="467">
        <f t="shared" si="13"/>
        <v>0</v>
      </c>
      <c r="Q101" s="467">
        <f>K18</f>
        <v>1.39</v>
      </c>
      <c r="R101" s="467">
        <v>0.43209876543209874</v>
      </c>
      <c r="S101" s="467">
        <f t="shared" si="14"/>
        <v>0</v>
      </c>
      <c r="T101" s="607"/>
      <c r="U101" s="609">
        <f>S101</f>
        <v>0</v>
      </c>
      <c r="V101" s="602"/>
      <c r="W101" s="602"/>
      <c r="X101" s="580"/>
      <c r="Y101" s="602"/>
      <c r="Z101" s="603"/>
      <c r="AA101" s="76"/>
      <c r="AB101" s="76"/>
      <c r="AC101" s="76"/>
    </row>
    <row r="102" spans="1:29" ht="12.75">
      <c r="A102" s="393"/>
      <c r="B102" s="390"/>
      <c r="C102" s="390" t="s">
        <v>299</v>
      </c>
      <c r="D102" s="390"/>
      <c r="I102" s="425">
        <f>LINEA!H14</f>
        <v>0</v>
      </c>
      <c r="J102" s="408"/>
      <c r="K102" s="425">
        <v>1</v>
      </c>
      <c r="L102" s="425">
        <f t="shared" si="11"/>
        <v>0</v>
      </c>
      <c r="M102" s="467">
        <f>C15</f>
        <v>3.333333333333333</v>
      </c>
      <c r="N102" s="467">
        <f t="shared" si="12"/>
        <v>0</v>
      </c>
      <c r="O102" s="467">
        <f>$G$27</f>
        <v>0</v>
      </c>
      <c r="P102" s="467">
        <f t="shared" si="13"/>
        <v>0</v>
      </c>
      <c r="Q102" s="467">
        <f>K17</f>
        <v>1.94</v>
      </c>
      <c r="R102" s="467">
        <f>R103</f>
        <v>0.6666666666666666</v>
      </c>
      <c r="S102" s="467">
        <f t="shared" si="14"/>
        <v>0</v>
      </c>
      <c r="T102" s="607"/>
      <c r="U102" s="602"/>
      <c r="V102" s="609">
        <f>S102</f>
        <v>0</v>
      </c>
      <c r="W102" s="602"/>
      <c r="X102" s="580"/>
      <c r="Z102" s="603"/>
      <c r="AA102" s="76"/>
      <c r="AB102" s="76"/>
      <c r="AC102" s="76"/>
    </row>
    <row r="103" spans="1:29" ht="12.75">
      <c r="A103" s="393"/>
      <c r="B103" s="390"/>
      <c r="C103" s="390" t="s">
        <v>112</v>
      </c>
      <c r="D103" s="390"/>
      <c r="I103" s="425">
        <f>LINEA!H15</f>
        <v>0</v>
      </c>
      <c r="J103" s="408"/>
      <c r="K103" s="425">
        <v>1</v>
      </c>
      <c r="L103" s="425">
        <f t="shared" si="11"/>
        <v>0</v>
      </c>
      <c r="M103" s="467">
        <f>C15</f>
        <v>3.333333333333333</v>
      </c>
      <c r="N103" s="467">
        <f t="shared" si="12"/>
        <v>0</v>
      </c>
      <c r="O103" s="467">
        <f>$G$27</f>
        <v>0</v>
      </c>
      <c r="P103" s="467">
        <f t="shared" si="13"/>
        <v>0</v>
      </c>
      <c r="Q103" s="467">
        <f>K16</f>
        <v>2.5</v>
      </c>
      <c r="R103" s="467">
        <v>0.6666666666666666</v>
      </c>
      <c r="S103" s="467">
        <f t="shared" si="14"/>
        <v>0</v>
      </c>
      <c r="T103" s="607"/>
      <c r="U103" s="609">
        <f>S103</f>
        <v>0</v>
      </c>
      <c r="V103" s="602"/>
      <c r="W103" s="602"/>
      <c r="X103" s="580"/>
      <c r="Y103" s="602"/>
      <c r="Z103" s="603"/>
      <c r="AA103" s="76"/>
      <c r="AB103" s="76"/>
      <c r="AC103" s="76"/>
    </row>
    <row r="104" spans="1:29" ht="15.75">
      <c r="A104" s="393">
        <v>2</v>
      </c>
      <c r="B104" s="424" t="s">
        <v>430</v>
      </c>
      <c r="C104" s="390"/>
      <c r="D104" s="390"/>
      <c r="I104" s="425"/>
      <c r="J104" s="408"/>
      <c r="K104" s="425"/>
      <c r="L104" s="425"/>
      <c r="M104" s="467"/>
      <c r="N104" s="467"/>
      <c r="O104" s="467"/>
      <c r="P104" s="467"/>
      <c r="Q104" s="467"/>
      <c r="R104" s="467"/>
      <c r="S104" s="467"/>
      <c r="T104" s="607"/>
      <c r="U104" s="602"/>
      <c r="V104" s="602"/>
      <c r="W104" s="602"/>
      <c r="X104" s="609"/>
      <c r="Y104" s="602"/>
      <c r="Z104" s="603"/>
      <c r="AA104" s="76"/>
      <c r="AB104" s="76"/>
      <c r="AC104" s="76"/>
    </row>
    <row r="105" spans="1:29" ht="15.75">
      <c r="A105" s="393"/>
      <c r="B105" s="424"/>
      <c r="C105" s="390" t="s">
        <v>259</v>
      </c>
      <c r="D105" s="390"/>
      <c r="I105" s="425"/>
      <c r="J105" s="425">
        <f>LINEA!H23+LINEA!H28+LINEA!H26+'A.PESADO'!H20+'A.PESADO'!H25+'A.PESADO'!H35</f>
        <v>0</v>
      </c>
      <c r="K105" s="425">
        <v>2</v>
      </c>
      <c r="L105" s="425">
        <f>K105*(I105+J105)</f>
        <v>0</v>
      </c>
      <c r="M105" s="467">
        <f>C18</f>
        <v>1.6666666666666665</v>
      </c>
      <c r="N105" s="467">
        <f>L105*M105</f>
        <v>0</v>
      </c>
      <c r="O105" s="467">
        <f>G21</f>
        <v>1.7857142857142858</v>
      </c>
      <c r="P105" s="467">
        <f>O105*L105</f>
        <v>0</v>
      </c>
      <c r="Q105" s="467">
        <f>K21</f>
        <v>0.09</v>
      </c>
      <c r="R105" s="467">
        <v>0.6666666666666666</v>
      </c>
      <c r="S105" s="467">
        <f>L105*Q105*R105</f>
        <v>0</v>
      </c>
      <c r="T105" s="607"/>
      <c r="U105" s="602"/>
      <c r="V105" s="602"/>
      <c r="W105" s="602"/>
      <c r="X105" s="609">
        <f>S105</f>
        <v>0</v>
      </c>
      <c r="Y105" s="602"/>
      <c r="Z105" s="603"/>
      <c r="AA105" s="76"/>
      <c r="AB105" s="76"/>
      <c r="AC105" s="76"/>
    </row>
    <row r="106" spans="1:29" ht="15.75">
      <c r="A106" s="393"/>
      <c r="B106" s="424"/>
      <c r="C106" s="390" t="s">
        <v>316</v>
      </c>
      <c r="D106" s="390"/>
      <c r="I106" s="425"/>
      <c r="J106" s="408">
        <f>'A.PESADO'!H19+'A.PESADO'!H24+'A.PESADO'!H34+LINEA!H22+LINEA!H27</f>
        <v>0</v>
      </c>
      <c r="K106" s="425">
        <v>1</v>
      </c>
      <c r="L106" s="425">
        <f>K106*(I106+J106)</f>
        <v>0</v>
      </c>
      <c r="M106" s="467">
        <f>C13</f>
        <v>5</v>
      </c>
      <c r="N106" s="467">
        <f>L106*M106</f>
        <v>0</v>
      </c>
      <c r="O106" s="467">
        <v>0</v>
      </c>
      <c r="P106" s="516">
        <f>O106*L106</f>
        <v>0</v>
      </c>
      <c r="Q106" s="467">
        <f>K17</f>
        <v>1.94</v>
      </c>
      <c r="R106" s="467">
        <v>0.6666666666666666</v>
      </c>
      <c r="S106" s="467">
        <f>L106*Q106*R106</f>
        <v>0</v>
      </c>
      <c r="T106" s="607"/>
      <c r="U106" s="602"/>
      <c r="V106" s="604">
        <f>S106</f>
        <v>0</v>
      </c>
      <c r="W106" s="602"/>
      <c r="X106" s="609"/>
      <c r="Y106" s="602"/>
      <c r="Z106" s="603"/>
      <c r="AA106" s="76"/>
      <c r="AB106" s="76"/>
      <c r="AC106" s="76"/>
    </row>
    <row r="107" spans="1:29" ht="15.75">
      <c r="A107" s="393"/>
      <c r="B107" s="424"/>
      <c r="C107" s="390" t="s">
        <v>296</v>
      </c>
      <c r="D107" s="390"/>
      <c r="I107" s="425"/>
      <c r="J107" s="425">
        <f>LINEA!H20</f>
        <v>0</v>
      </c>
      <c r="K107" s="425">
        <v>3</v>
      </c>
      <c r="L107" s="425">
        <f>K107*(I107+J107)</f>
        <v>0</v>
      </c>
      <c r="M107" s="467">
        <f>C16</f>
        <v>2.5</v>
      </c>
      <c r="N107" s="467">
        <f>L107*M107</f>
        <v>0</v>
      </c>
      <c r="O107" s="467">
        <f>G19</f>
        <v>2.5</v>
      </c>
      <c r="P107" s="467">
        <f>O107*L107</f>
        <v>0</v>
      </c>
      <c r="Q107" s="467">
        <f>K20</f>
        <v>0.37</v>
      </c>
      <c r="R107" s="467">
        <v>0.8888888888888888</v>
      </c>
      <c r="S107" s="467">
        <f>L107*Q107*R107</f>
        <v>0</v>
      </c>
      <c r="T107" s="607"/>
      <c r="U107" s="602"/>
      <c r="V107" s="602"/>
      <c r="W107" s="604">
        <f>S107</f>
        <v>0</v>
      </c>
      <c r="X107" s="609"/>
      <c r="Y107" s="602"/>
      <c r="Z107" s="603"/>
      <c r="AA107" s="76"/>
      <c r="AB107" s="76"/>
      <c r="AC107" s="76"/>
    </row>
    <row r="108" spans="1:29" ht="15.75">
      <c r="A108" s="393"/>
      <c r="B108" s="424"/>
      <c r="C108" s="390" t="s">
        <v>298</v>
      </c>
      <c r="D108" s="390"/>
      <c r="I108" s="425"/>
      <c r="J108" s="425">
        <f>LINEA!H21</f>
        <v>0</v>
      </c>
      <c r="K108" s="425">
        <v>1</v>
      </c>
      <c r="L108" s="425">
        <f>K108*(I108+J108)</f>
        <v>0</v>
      </c>
      <c r="M108" s="467">
        <f>C15</f>
        <v>3.333333333333333</v>
      </c>
      <c r="N108" s="467">
        <f>L108*M108</f>
        <v>0</v>
      </c>
      <c r="O108" s="467">
        <f>G17</f>
        <v>3.2142857142857144</v>
      </c>
      <c r="P108" s="467">
        <f>O108*L108</f>
        <v>0</v>
      </c>
      <c r="Q108" s="467">
        <f>K16</f>
        <v>2.5</v>
      </c>
      <c r="R108" s="467">
        <v>0.8888888888888888</v>
      </c>
      <c r="S108" s="467">
        <f>L108*Q108*R108</f>
        <v>0</v>
      </c>
      <c r="T108" s="607"/>
      <c r="U108" s="604">
        <f>S108</f>
        <v>0</v>
      </c>
      <c r="V108" s="602"/>
      <c r="W108" s="602"/>
      <c r="X108" s="609"/>
      <c r="Y108" s="602"/>
      <c r="Z108" s="603"/>
      <c r="AA108" s="76"/>
      <c r="AB108" s="76"/>
      <c r="AC108" s="76"/>
    </row>
    <row r="109" spans="1:29" ht="16.5" thickBot="1">
      <c r="A109" s="393"/>
      <c r="B109" s="424"/>
      <c r="C109" s="390" t="s">
        <v>431</v>
      </c>
      <c r="D109" s="390"/>
      <c r="I109" s="425"/>
      <c r="J109" s="425">
        <f>LINEA!H31</f>
        <v>0</v>
      </c>
      <c r="K109" s="425">
        <v>2</v>
      </c>
      <c r="L109" s="425">
        <f>K109*(I109+J109)</f>
        <v>0</v>
      </c>
      <c r="M109" s="467">
        <f>C18</f>
        <v>1.6666666666666665</v>
      </c>
      <c r="N109" s="467">
        <f>L109*M109</f>
        <v>0</v>
      </c>
      <c r="O109" s="467">
        <f>G22</f>
        <v>1.4285714285714284</v>
      </c>
      <c r="P109" s="467">
        <f>O109*L109</f>
        <v>0</v>
      </c>
      <c r="Q109" s="467">
        <f>Q105</f>
        <v>0.09</v>
      </c>
      <c r="R109" s="467">
        <v>0.3333333333333333</v>
      </c>
      <c r="S109" s="467">
        <f>L109*Q109*R109</f>
        <v>0</v>
      </c>
      <c r="T109" s="607"/>
      <c r="U109" s="602"/>
      <c r="V109" s="602"/>
      <c r="W109" s="602"/>
      <c r="X109" s="609">
        <f>S109</f>
        <v>0</v>
      </c>
      <c r="Y109" s="602"/>
      <c r="Z109" s="603"/>
      <c r="AA109" s="76"/>
      <c r="AB109" s="76"/>
      <c r="AC109" s="76"/>
    </row>
    <row r="110" spans="1:29" ht="13.5" thickBot="1">
      <c r="A110" s="389"/>
      <c r="B110" s="388" t="s">
        <v>14</v>
      </c>
      <c r="C110" s="398"/>
      <c r="D110" s="398"/>
      <c r="E110" s="398"/>
      <c r="F110" s="398"/>
      <c r="G110" s="398"/>
      <c r="H110" s="428"/>
      <c r="I110" s="381">
        <f>SUM(I111:I150)</f>
        <v>0</v>
      </c>
      <c r="J110" s="381">
        <f>SUM(J111:J150)</f>
        <v>0</v>
      </c>
      <c r="K110" s="381"/>
      <c r="L110" s="381">
        <f>SUM(L111:L150)</f>
        <v>0</v>
      </c>
      <c r="M110" s="436">
        <f>SUM(M111:M150)</f>
        <v>62.50000000000001</v>
      </c>
      <c r="N110" s="436">
        <f>SUM(N111:N150)</f>
        <v>0</v>
      </c>
      <c r="O110" s="436">
        <f>SUM(O111:O150)</f>
        <v>38.64285714285715</v>
      </c>
      <c r="P110" s="436">
        <f>SUM(P111:P150)</f>
        <v>0</v>
      </c>
      <c r="Q110" s="436"/>
      <c r="R110" s="436"/>
      <c r="S110" s="471">
        <f>SUM(S111:S150)</f>
        <v>0</v>
      </c>
      <c r="T110" s="601"/>
      <c r="U110" s="602"/>
      <c r="V110" s="602"/>
      <c r="W110" s="602"/>
      <c r="X110" s="609"/>
      <c r="Y110" s="602"/>
      <c r="Z110" s="603"/>
      <c r="AA110" s="76"/>
      <c r="AB110" s="76"/>
      <c r="AC110" s="76"/>
    </row>
    <row r="111" spans="1:29" ht="15.75">
      <c r="A111" s="393">
        <v>1</v>
      </c>
      <c r="B111" s="424" t="s">
        <v>433</v>
      </c>
      <c r="C111" s="390"/>
      <c r="D111" s="390"/>
      <c r="I111" s="425"/>
      <c r="J111" s="408"/>
      <c r="K111" s="425"/>
      <c r="L111" s="425">
        <f aca="true" t="shared" si="15" ref="L111:L129">K111*(I111+J111)</f>
        <v>0</v>
      </c>
      <c r="M111" s="467"/>
      <c r="N111" s="467"/>
      <c r="O111" s="467"/>
      <c r="P111" s="467"/>
      <c r="Q111" s="467"/>
      <c r="R111" s="467"/>
      <c r="S111" s="468"/>
      <c r="T111" s="601"/>
      <c r="U111" s="602"/>
      <c r="V111" s="602"/>
      <c r="W111" s="602"/>
      <c r="X111" s="609"/>
      <c r="Y111" s="602"/>
      <c r="Z111" s="603"/>
      <c r="AA111" s="76"/>
      <c r="AB111" s="76"/>
      <c r="AC111" s="76"/>
    </row>
    <row r="112" spans="1:29" ht="12.75">
      <c r="A112" s="393"/>
      <c r="B112" s="390"/>
      <c r="C112" s="590" t="s">
        <v>293</v>
      </c>
      <c r="D112" s="390"/>
      <c r="I112" s="425">
        <f>ELITE!H6</f>
        <v>0</v>
      </c>
      <c r="J112" s="425">
        <f>ELITE!H12</f>
        <v>0</v>
      </c>
      <c r="K112" s="425">
        <v>4</v>
      </c>
      <c r="L112" s="425">
        <f t="shared" si="15"/>
        <v>0</v>
      </c>
      <c r="M112" s="468">
        <f>C18</f>
        <v>1.6666666666666665</v>
      </c>
      <c r="N112" s="468">
        <f aca="true" t="shared" si="16" ref="N112:N129">L112*M112</f>
        <v>0</v>
      </c>
      <c r="O112" s="468">
        <f>G21</f>
        <v>1.7857142857142858</v>
      </c>
      <c r="P112" s="467">
        <f aca="true" t="shared" si="17" ref="P112:P129">L112*O112</f>
        <v>0</v>
      </c>
      <c r="Q112" s="468">
        <f>Q82</f>
        <v>1.06</v>
      </c>
      <c r="R112" s="468">
        <v>0.6666666666666666</v>
      </c>
      <c r="S112" s="468">
        <f aca="true" t="shared" si="18" ref="S112:S129">L112*Q112*R112</f>
        <v>0</v>
      </c>
      <c r="T112" s="601"/>
      <c r="U112" s="609">
        <f>S112*1/6</f>
        <v>0</v>
      </c>
      <c r="V112" s="602"/>
      <c r="W112" s="602">
        <f>S112*5/6</f>
        <v>0</v>
      </c>
      <c r="X112" s="580"/>
      <c r="Y112" s="602"/>
      <c r="Z112" s="603"/>
      <c r="AA112" s="76"/>
      <c r="AB112" s="76"/>
      <c r="AC112" s="76"/>
    </row>
    <row r="113" spans="1:29" ht="12.75">
      <c r="A113" s="393"/>
      <c r="B113" s="390"/>
      <c r="C113" s="590" t="s">
        <v>294</v>
      </c>
      <c r="D113" s="390"/>
      <c r="I113" s="425"/>
      <c r="J113" s="408">
        <f>ELITE!H13</f>
        <v>0</v>
      </c>
      <c r="K113" s="425">
        <v>1</v>
      </c>
      <c r="L113" s="425">
        <f t="shared" si="15"/>
        <v>0</v>
      </c>
      <c r="M113" s="467">
        <f>C16</f>
        <v>2.5</v>
      </c>
      <c r="N113" s="468">
        <f t="shared" si="16"/>
        <v>0</v>
      </c>
      <c r="O113" s="467">
        <f>G19</f>
        <v>2.5</v>
      </c>
      <c r="P113" s="467">
        <f t="shared" si="17"/>
        <v>0</v>
      </c>
      <c r="Q113" s="467">
        <f>Q101</f>
        <v>1.39</v>
      </c>
      <c r="R113" s="467">
        <v>0.5185185185185185</v>
      </c>
      <c r="S113" s="468">
        <f t="shared" si="18"/>
        <v>0</v>
      </c>
      <c r="T113" s="601"/>
      <c r="U113" s="609">
        <f>S113</f>
        <v>0</v>
      </c>
      <c r="V113" s="602"/>
      <c r="X113" s="580"/>
      <c r="Y113" s="602"/>
      <c r="Z113" s="603"/>
      <c r="AA113" s="76"/>
      <c r="AB113" s="76"/>
      <c r="AC113" s="76"/>
    </row>
    <row r="114" spans="1:29" ht="12.75">
      <c r="A114" s="393"/>
      <c r="B114" s="390"/>
      <c r="C114" s="590" t="s">
        <v>295</v>
      </c>
      <c r="D114" s="390"/>
      <c r="I114" s="425"/>
      <c r="J114" s="408">
        <f>ELITE!H14</f>
        <v>0</v>
      </c>
      <c r="K114" s="425">
        <v>1</v>
      </c>
      <c r="L114" s="425">
        <f t="shared" si="15"/>
        <v>0</v>
      </c>
      <c r="M114" s="467">
        <f>C18</f>
        <v>1.6666666666666665</v>
      </c>
      <c r="N114" s="468">
        <f t="shared" si="16"/>
        <v>0</v>
      </c>
      <c r="O114" s="467">
        <f>G21</f>
        <v>1.7857142857142858</v>
      </c>
      <c r="P114" s="467">
        <f t="shared" si="17"/>
        <v>0</v>
      </c>
      <c r="Q114" s="467">
        <f>Q100</f>
        <v>3.92</v>
      </c>
      <c r="R114" s="467">
        <v>0.6666666666666666</v>
      </c>
      <c r="S114" s="468">
        <f t="shared" si="18"/>
        <v>0</v>
      </c>
      <c r="T114" s="610">
        <f>S114</f>
        <v>0</v>
      </c>
      <c r="U114" s="602"/>
      <c r="V114" s="602"/>
      <c r="W114" s="609"/>
      <c r="X114" s="580"/>
      <c r="Y114" s="602"/>
      <c r="Z114" s="603"/>
      <c r="AA114" s="76"/>
      <c r="AB114" s="76"/>
      <c r="AC114" s="76"/>
    </row>
    <row r="115" spans="1:29" ht="12.75">
      <c r="A115" s="393"/>
      <c r="B115" s="390"/>
      <c r="C115" s="390" t="s">
        <v>296</v>
      </c>
      <c r="D115" s="390"/>
      <c r="I115" s="425"/>
      <c r="J115" s="408">
        <f>ELITE!H15</f>
        <v>0</v>
      </c>
      <c r="K115" s="425">
        <v>3</v>
      </c>
      <c r="L115" s="425">
        <f t="shared" si="15"/>
        <v>0</v>
      </c>
      <c r="M115" s="467">
        <f>C16</f>
        <v>2.5</v>
      </c>
      <c r="N115" s="468">
        <f t="shared" si="16"/>
        <v>0</v>
      </c>
      <c r="O115" s="467">
        <f>G19</f>
        <v>2.5</v>
      </c>
      <c r="P115" s="467">
        <f t="shared" si="17"/>
        <v>0</v>
      </c>
      <c r="Q115" s="467">
        <f>Q83</f>
        <v>0.37</v>
      </c>
      <c r="R115" s="467">
        <v>0.8888888888888888</v>
      </c>
      <c r="S115" s="468">
        <f t="shared" si="18"/>
        <v>0</v>
      </c>
      <c r="T115" s="601"/>
      <c r="U115" s="602"/>
      <c r="V115" s="602"/>
      <c r="W115" s="609">
        <f>S115</f>
        <v>0</v>
      </c>
      <c r="X115" s="580"/>
      <c r="Y115" s="602"/>
      <c r="Z115" s="603"/>
      <c r="AA115" s="76"/>
      <c r="AB115" s="76"/>
      <c r="AC115" s="76"/>
    </row>
    <row r="116" spans="1:29" ht="12.75">
      <c r="A116" s="393"/>
      <c r="B116" s="390"/>
      <c r="C116" s="590" t="s">
        <v>297</v>
      </c>
      <c r="D116" s="390"/>
      <c r="I116" s="425"/>
      <c r="J116" s="408">
        <f>ELITE!H16</f>
        <v>0</v>
      </c>
      <c r="K116" s="425">
        <v>2</v>
      </c>
      <c r="L116" s="425">
        <f t="shared" si="15"/>
        <v>0</v>
      </c>
      <c r="M116" s="467">
        <f>C15</f>
        <v>3.333333333333333</v>
      </c>
      <c r="N116" s="468">
        <f t="shared" si="16"/>
        <v>0</v>
      </c>
      <c r="O116" s="467">
        <f>G17</f>
        <v>3.2142857142857144</v>
      </c>
      <c r="P116" s="467">
        <f t="shared" si="17"/>
        <v>0</v>
      </c>
      <c r="Q116" s="467">
        <f>K18</f>
        <v>1.39</v>
      </c>
      <c r="R116" s="467">
        <v>0.8888888888888888</v>
      </c>
      <c r="S116" s="468">
        <f t="shared" si="18"/>
        <v>0</v>
      </c>
      <c r="T116" s="601"/>
      <c r="U116" s="602"/>
      <c r="V116" s="602"/>
      <c r="W116" s="609">
        <f>S116</f>
        <v>0</v>
      </c>
      <c r="X116" s="580"/>
      <c r="Y116" s="602"/>
      <c r="Z116" s="603"/>
      <c r="AA116" s="76"/>
      <c r="AB116" s="76"/>
      <c r="AC116" s="76"/>
    </row>
    <row r="117" spans="1:29" ht="12.75">
      <c r="A117" s="393"/>
      <c r="B117" s="390"/>
      <c r="C117" s="590" t="s">
        <v>298</v>
      </c>
      <c r="D117" s="390"/>
      <c r="I117" s="425"/>
      <c r="J117" s="408">
        <f>ELITE!H17</f>
        <v>0</v>
      </c>
      <c r="K117" s="425">
        <v>1</v>
      </c>
      <c r="L117" s="425">
        <f t="shared" si="15"/>
        <v>0</v>
      </c>
      <c r="M117" s="467">
        <f>C15</f>
        <v>3.333333333333333</v>
      </c>
      <c r="N117" s="468">
        <f t="shared" si="16"/>
        <v>0</v>
      </c>
      <c r="O117" s="467">
        <f>G17</f>
        <v>3.2142857142857144</v>
      </c>
      <c r="P117" s="467">
        <f t="shared" si="17"/>
        <v>0</v>
      </c>
      <c r="Q117" s="467">
        <f>Q108</f>
        <v>2.5</v>
      </c>
      <c r="R117" s="467">
        <v>0.8888888888888888</v>
      </c>
      <c r="S117" s="468">
        <f t="shared" si="18"/>
        <v>0</v>
      </c>
      <c r="T117" s="601"/>
      <c r="U117" s="604">
        <f>S117</f>
        <v>0</v>
      </c>
      <c r="V117" s="602"/>
      <c r="W117" s="609"/>
      <c r="X117" s="580"/>
      <c r="Y117" s="602"/>
      <c r="Z117" s="603"/>
      <c r="AA117" s="76"/>
      <c r="AB117" s="76"/>
      <c r="AC117" s="76"/>
    </row>
    <row r="118" spans="1:29" ht="12.75">
      <c r="A118" s="393"/>
      <c r="B118" s="390"/>
      <c r="C118" s="590" t="s">
        <v>299</v>
      </c>
      <c r="D118" s="390"/>
      <c r="I118" s="425">
        <f>ELITE!H9+ELITE!H8</f>
        <v>0</v>
      </c>
      <c r="J118" s="408">
        <f>ELITE!H18</f>
        <v>0</v>
      </c>
      <c r="K118" s="425">
        <v>1</v>
      </c>
      <c r="L118" s="425">
        <f t="shared" si="15"/>
        <v>0</v>
      </c>
      <c r="M118" s="467">
        <f>C15</f>
        <v>3.333333333333333</v>
      </c>
      <c r="N118" s="468">
        <f t="shared" si="16"/>
        <v>0</v>
      </c>
      <c r="O118" s="467">
        <f>G17</f>
        <v>3.2142857142857144</v>
      </c>
      <c r="P118" s="467">
        <f t="shared" si="17"/>
        <v>0</v>
      </c>
      <c r="Q118" s="467">
        <f>Q106</f>
        <v>1.94</v>
      </c>
      <c r="R118" s="467">
        <f>R112</f>
        <v>0.6666666666666666</v>
      </c>
      <c r="S118" s="468">
        <f t="shared" si="18"/>
        <v>0</v>
      </c>
      <c r="T118" s="601"/>
      <c r="U118" s="602"/>
      <c r="V118" s="604">
        <f>S118</f>
        <v>0</v>
      </c>
      <c r="W118" s="609"/>
      <c r="X118" s="580"/>
      <c r="Z118" s="603"/>
      <c r="AA118" s="76"/>
      <c r="AB118" s="76"/>
      <c r="AC118" s="76"/>
    </row>
    <row r="119" spans="1:29" ht="12.75">
      <c r="A119" s="393"/>
      <c r="B119" s="390"/>
      <c r="C119" s="590" t="s">
        <v>290</v>
      </c>
      <c r="D119" s="390"/>
      <c r="I119" s="425">
        <f>ELITE!H7</f>
        <v>0</v>
      </c>
      <c r="J119" s="408">
        <f>ELITE!H19</f>
        <v>0</v>
      </c>
      <c r="K119" s="425">
        <v>1</v>
      </c>
      <c r="L119" s="425">
        <f t="shared" si="15"/>
        <v>0</v>
      </c>
      <c r="M119" s="467" t="str">
        <f>C21</f>
        <v>0.5</v>
      </c>
      <c r="N119" s="468">
        <f t="shared" si="16"/>
        <v>0</v>
      </c>
      <c r="O119" s="467">
        <f>G26</f>
        <v>0.5</v>
      </c>
      <c r="P119" s="467">
        <f t="shared" si="17"/>
        <v>0</v>
      </c>
      <c r="Q119" s="467">
        <f>K20</f>
        <v>0.37</v>
      </c>
      <c r="R119" s="467">
        <v>1</v>
      </c>
      <c r="S119" s="468">
        <f t="shared" si="18"/>
        <v>0</v>
      </c>
      <c r="T119" s="601"/>
      <c r="U119" s="602"/>
      <c r="V119" s="602"/>
      <c r="W119" s="609">
        <f>S119</f>
        <v>0</v>
      </c>
      <c r="X119" s="580"/>
      <c r="Y119" s="602"/>
      <c r="Z119" s="603"/>
      <c r="AA119" s="76"/>
      <c r="AB119" s="76"/>
      <c r="AC119" s="76"/>
    </row>
    <row r="120" spans="1:29" ht="12.75">
      <c r="A120" s="393"/>
      <c r="B120" s="390"/>
      <c r="C120" s="590" t="s">
        <v>432</v>
      </c>
      <c r="D120" s="390"/>
      <c r="I120" s="425">
        <f>ELITE!H5+ELITE!H8</f>
        <v>0</v>
      </c>
      <c r="J120" s="408">
        <f>ELITE!H20</f>
        <v>0</v>
      </c>
      <c r="K120" s="425">
        <v>2</v>
      </c>
      <c r="L120" s="425">
        <f t="shared" si="15"/>
        <v>0</v>
      </c>
      <c r="M120" s="467">
        <f>C18</f>
        <v>1.6666666666666665</v>
      </c>
      <c r="N120" s="468">
        <f t="shared" si="16"/>
        <v>0</v>
      </c>
      <c r="O120" s="467">
        <f>G21</f>
        <v>1.7857142857142858</v>
      </c>
      <c r="P120" s="467">
        <f t="shared" si="17"/>
        <v>0</v>
      </c>
      <c r="Q120" s="467">
        <f>Q109</f>
        <v>0.09</v>
      </c>
      <c r="R120" s="467">
        <v>0.6666666666666666</v>
      </c>
      <c r="S120" s="468">
        <f t="shared" si="18"/>
        <v>0</v>
      </c>
      <c r="T120" s="601"/>
      <c r="U120" s="602"/>
      <c r="V120" s="602"/>
      <c r="W120" s="609"/>
      <c r="X120" s="611">
        <f>S120</f>
        <v>0</v>
      </c>
      <c r="Y120" s="602"/>
      <c r="Z120" s="603"/>
      <c r="AA120" s="76"/>
      <c r="AB120" s="76"/>
      <c r="AC120" s="76"/>
    </row>
    <row r="121" spans="1:29" ht="15.75">
      <c r="A121" s="393">
        <v>2</v>
      </c>
      <c r="B121" s="424" t="s">
        <v>301</v>
      </c>
      <c r="C121" s="390"/>
      <c r="D121" s="390"/>
      <c r="I121" s="425"/>
      <c r="J121" s="408"/>
      <c r="K121" s="425"/>
      <c r="L121" s="425">
        <f t="shared" si="15"/>
        <v>0</v>
      </c>
      <c r="M121" s="467"/>
      <c r="N121" s="468">
        <f t="shared" si="16"/>
        <v>0</v>
      </c>
      <c r="O121" s="467"/>
      <c r="P121" s="467">
        <f t="shared" si="17"/>
        <v>0</v>
      </c>
      <c r="Q121" s="467"/>
      <c r="R121" s="467"/>
      <c r="S121" s="468">
        <f t="shared" si="18"/>
        <v>0</v>
      </c>
      <c r="T121" s="601"/>
      <c r="U121" s="602"/>
      <c r="V121" s="602"/>
      <c r="W121" s="602"/>
      <c r="X121" s="609"/>
      <c r="Y121" s="602"/>
      <c r="Z121" s="603"/>
      <c r="AA121" s="76"/>
      <c r="AB121" s="76"/>
      <c r="AC121" s="76"/>
    </row>
    <row r="122" spans="1:29" ht="15.75">
      <c r="A122" s="393"/>
      <c r="B122" s="424"/>
      <c r="C122" s="590" t="s">
        <v>113</v>
      </c>
      <c r="D122" s="390"/>
      <c r="I122" s="425">
        <f>ELITE!H23</f>
        <v>0</v>
      </c>
      <c r="J122" s="408"/>
      <c r="K122" s="425">
        <v>1</v>
      </c>
      <c r="L122" s="425">
        <f t="shared" si="15"/>
        <v>0</v>
      </c>
      <c r="M122" s="425">
        <f>M93</f>
        <v>0.8333333333333333</v>
      </c>
      <c r="N122" s="468">
        <f t="shared" si="16"/>
        <v>0</v>
      </c>
      <c r="O122" s="425">
        <f>O93</f>
        <v>1.0714285714285714</v>
      </c>
      <c r="P122" s="467">
        <f t="shared" si="17"/>
        <v>0</v>
      </c>
      <c r="Q122" s="425">
        <f>Q93</f>
        <v>0.09</v>
      </c>
      <c r="R122" s="425">
        <v>0.6666666666666666</v>
      </c>
      <c r="S122" s="468">
        <f t="shared" si="18"/>
        <v>0</v>
      </c>
      <c r="T122" s="601"/>
      <c r="U122" s="602"/>
      <c r="V122" s="602"/>
      <c r="W122" s="602"/>
      <c r="X122" s="609">
        <f>S122</f>
        <v>0</v>
      </c>
      <c r="Y122" s="602"/>
      <c r="Z122" s="603"/>
      <c r="AA122" s="76"/>
      <c r="AB122" s="76"/>
      <c r="AC122" s="76"/>
    </row>
    <row r="123" spans="1:29" ht="15.75">
      <c r="A123" s="393"/>
      <c r="B123" s="424"/>
      <c r="C123" s="390" t="s">
        <v>274</v>
      </c>
      <c r="D123" s="390"/>
      <c r="I123" s="425">
        <f>ELITE!H24+ELITE!H27</f>
        <v>0</v>
      </c>
      <c r="J123" s="408"/>
      <c r="K123" s="425">
        <v>1</v>
      </c>
      <c r="L123" s="425">
        <f t="shared" si="15"/>
        <v>0</v>
      </c>
      <c r="M123" s="425">
        <f>M94</f>
        <v>0.8333333333333333</v>
      </c>
      <c r="N123" s="468">
        <f t="shared" si="16"/>
        <v>0</v>
      </c>
      <c r="O123" s="425">
        <f>O94</f>
        <v>1.0714285714285714</v>
      </c>
      <c r="P123" s="467">
        <f t="shared" si="17"/>
        <v>0</v>
      </c>
      <c r="Q123" s="425">
        <f>Q94</f>
        <v>1.39</v>
      </c>
      <c r="R123" s="425">
        <v>0.6666666666666666</v>
      </c>
      <c r="S123" s="468">
        <f t="shared" si="18"/>
        <v>0</v>
      </c>
      <c r="T123" s="601"/>
      <c r="U123" s="604">
        <f>S123</f>
        <v>0</v>
      </c>
      <c r="V123" s="602"/>
      <c r="W123" s="602"/>
      <c r="X123" s="609"/>
      <c r="Y123" s="602"/>
      <c r="Z123" s="603"/>
      <c r="AA123" s="76"/>
      <c r="AB123" s="76"/>
      <c r="AC123" s="76"/>
    </row>
    <row r="124" spans="1:29" ht="15.75">
      <c r="A124" s="393"/>
      <c r="B124" s="424"/>
      <c r="C124" s="390" t="s">
        <v>416</v>
      </c>
      <c r="D124" s="390"/>
      <c r="I124" s="425">
        <f>ELITE!H25+ELITE!H28</f>
        <v>0</v>
      </c>
      <c r="J124" s="408"/>
      <c r="K124" s="425">
        <v>1.5</v>
      </c>
      <c r="L124" s="425">
        <f t="shared" si="15"/>
        <v>0</v>
      </c>
      <c r="M124" s="425">
        <f>M95</f>
        <v>1.25</v>
      </c>
      <c r="N124" s="468">
        <f t="shared" si="16"/>
        <v>0</v>
      </c>
      <c r="O124" s="425">
        <f>O95</f>
        <v>1.4285714285714284</v>
      </c>
      <c r="P124" s="467">
        <f t="shared" si="17"/>
        <v>0</v>
      </c>
      <c r="Q124" s="425">
        <f>Q95</f>
        <v>0.09</v>
      </c>
      <c r="R124" s="425">
        <v>0.6666666666666666</v>
      </c>
      <c r="S124" s="468">
        <f t="shared" si="18"/>
        <v>0</v>
      </c>
      <c r="T124" s="601"/>
      <c r="U124" s="602"/>
      <c r="V124" s="602"/>
      <c r="W124" s="602"/>
      <c r="X124" s="609">
        <f>S124</f>
        <v>0</v>
      </c>
      <c r="Y124" s="602"/>
      <c r="Z124" s="603"/>
      <c r="AA124" s="76"/>
      <c r="AB124" s="76"/>
      <c r="AC124" s="76"/>
    </row>
    <row r="125" spans="1:29" ht="15.75">
      <c r="A125" s="393"/>
      <c r="B125" s="424"/>
      <c r="C125" s="390" t="s">
        <v>434</v>
      </c>
      <c r="D125" s="390"/>
      <c r="I125" s="425">
        <f>ELITE!H26+ELITE!H28+ELITE!H27</f>
        <v>0</v>
      </c>
      <c r="J125" s="408"/>
      <c r="K125" s="425">
        <v>1</v>
      </c>
      <c r="L125" s="425">
        <f t="shared" si="15"/>
        <v>0</v>
      </c>
      <c r="M125" s="425">
        <f>M94</f>
        <v>0.8333333333333333</v>
      </c>
      <c r="N125" s="468">
        <f t="shared" si="16"/>
        <v>0</v>
      </c>
      <c r="O125" s="425">
        <f>O94</f>
        <v>1.0714285714285714</v>
      </c>
      <c r="P125" s="467">
        <f t="shared" si="17"/>
        <v>0</v>
      </c>
      <c r="Q125" s="425">
        <f>Q94</f>
        <v>1.39</v>
      </c>
      <c r="R125" s="468">
        <v>0.8888888888888888</v>
      </c>
      <c r="S125" s="468">
        <f t="shared" si="18"/>
        <v>0</v>
      </c>
      <c r="T125" s="601"/>
      <c r="U125" s="604">
        <f>S125</f>
        <v>0</v>
      </c>
      <c r="V125" s="602"/>
      <c r="W125" s="602"/>
      <c r="X125" s="609"/>
      <c r="Y125" s="602"/>
      <c r="Z125" s="603"/>
      <c r="AA125" s="76"/>
      <c r="AB125" s="76"/>
      <c r="AC125" s="76"/>
    </row>
    <row r="126" spans="1:29" ht="15.75">
      <c r="A126" s="393"/>
      <c r="B126" s="424"/>
      <c r="C126" s="390" t="s">
        <v>280</v>
      </c>
      <c r="D126" s="390"/>
      <c r="I126" s="425">
        <f>ELITE!H26</f>
        <v>0</v>
      </c>
      <c r="J126" s="408"/>
      <c r="K126" s="425">
        <v>1</v>
      </c>
      <c r="L126" s="425">
        <f t="shared" si="15"/>
        <v>0</v>
      </c>
      <c r="M126" s="425" t="str">
        <f>M98</f>
        <v>0.5</v>
      </c>
      <c r="N126" s="468">
        <f t="shared" si="16"/>
        <v>0</v>
      </c>
      <c r="O126" s="425">
        <f>O98</f>
        <v>0.5</v>
      </c>
      <c r="P126" s="467">
        <f t="shared" si="17"/>
        <v>0</v>
      </c>
      <c r="Q126" s="425">
        <f>Q98</f>
        <v>0.09</v>
      </c>
      <c r="R126" s="425">
        <v>1</v>
      </c>
      <c r="S126" s="468">
        <f t="shared" si="18"/>
        <v>0</v>
      </c>
      <c r="T126" s="601"/>
      <c r="U126" s="602"/>
      <c r="V126" s="602"/>
      <c r="W126" s="602"/>
      <c r="X126" s="609">
        <f>S126</f>
        <v>0</v>
      </c>
      <c r="Y126" s="602"/>
      <c r="Z126" s="603"/>
      <c r="AA126" s="76"/>
      <c r="AB126" s="76"/>
      <c r="AC126" s="76"/>
    </row>
    <row r="127" spans="1:29" ht="15.75">
      <c r="A127" s="393"/>
      <c r="B127" s="424"/>
      <c r="C127" s="390" t="s">
        <v>435</v>
      </c>
      <c r="D127" s="390"/>
      <c r="I127" s="425">
        <f>ELITE!H29</f>
        <v>0</v>
      </c>
      <c r="J127" s="408"/>
      <c r="K127" s="425">
        <v>3</v>
      </c>
      <c r="L127" s="425">
        <f t="shared" si="15"/>
        <v>0</v>
      </c>
      <c r="M127" s="425">
        <f>M99</f>
        <v>2.5</v>
      </c>
      <c r="N127" s="468">
        <f t="shared" si="16"/>
        <v>0</v>
      </c>
      <c r="O127" s="425">
        <f>O99</f>
        <v>0</v>
      </c>
      <c r="P127" s="467">
        <f t="shared" si="17"/>
        <v>0</v>
      </c>
      <c r="Q127" s="468">
        <f>Q99</f>
        <v>0.37</v>
      </c>
      <c r="R127" s="468">
        <v>0.6666666666666666</v>
      </c>
      <c r="S127" s="468">
        <f t="shared" si="18"/>
        <v>0</v>
      </c>
      <c r="T127" s="601"/>
      <c r="U127" s="602"/>
      <c r="V127" s="602"/>
      <c r="W127" s="602">
        <f>S127</f>
        <v>0</v>
      </c>
      <c r="X127" s="609"/>
      <c r="Y127" s="602"/>
      <c r="Z127" s="603"/>
      <c r="AA127" s="76"/>
      <c r="AB127" s="76"/>
      <c r="AC127" s="76"/>
    </row>
    <row r="128" spans="1:29" ht="15.75">
      <c r="A128" s="393"/>
      <c r="B128" s="424"/>
      <c r="C128" s="390" t="s">
        <v>439</v>
      </c>
      <c r="D128" s="390"/>
      <c r="I128" s="425">
        <f>ELITE!H30</f>
        <v>0</v>
      </c>
      <c r="J128" s="408"/>
      <c r="K128" s="425">
        <v>1</v>
      </c>
      <c r="L128" s="425">
        <f t="shared" si="15"/>
        <v>0</v>
      </c>
      <c r="M128" s="425">
        <f>M100</f>
        <v>1.6666666666666665</v>
      </c>
      <c r="N128" s="468">
        <f t="shared" si="16"/>
        <v>0</v>
      </c>
      <c r="O128" s="425">
        <f>O100</f>
        <v>0</v>
      </c>
      <c r="P128" s="467">
        <f t="shared" si="17"/>
        <v>0</v>
      </c>
      <c r="Q128" s="468">
        <f>Q100</f>
        <v>3.92</v>
      </c>
      <c r="R128" s="468">
        <v>0.6666666666666666</v>
      </c>
      <c r="S128" s="468">
        <f t="shared" si="18"/>
        <v>0</v>
      </c>
      <c r="T128" s="601">
        <f>S128</f>
        <v>0</v>
      </c>
      <c r="U128" s="602"/>
      <c r="V128" s="602"/>
      <c r="W128" s="602"/>
      <c r="X128" s="609"/>
      <c r="Y128" s="602"/>
      <c r="Z128" s="603"/>
      <c r="AA128" s="76"/>
      <c r="AB128" s="76"/>
      <c r="AC128" s="76"/>
    </row>
    <row r="129" spans="1:29" ht="15.75">
      <c r="A129" s="393"/>
      <c r="B129" s="424"/>
      <c r="C129" s="390" t="s">
        <v>436</v>
      </c>
      <c r="D129" s="390"/>
      <c r="I129" s="425">
        <f>ELITE!H31</f>
        <v>0</v>
      </c>
      <c r="J129" s="408"/>
      <c r="K129" s="425">
        <v>1</v>
      </c>
      <c r="L129" s="425">
        <f t="shared" si="15"/>
        <v>0</v>
      </c>
      <c r="M129" s="425">
        <f>M101</f>
        <v>2.5</v>
      </c>
      <c r="N129" s="468">
        <f t="shared" si="16"/>
        <v>0</v>
      </c>
      <c r="O129" s="425">
        <f>O101</f>
        <v>0</v>
      </c>
      <c r="P129" s="467">
        <f t="shared" si="17"/>
        <v>0</v>
      </c>
      <c r="Q129" s="468">
        <f>Q101</f>
        <v>1.39</v>
      </c>
      <c r="R129" s="468">
        <v>0.43209876543209874</v>
      </c>
      <c r="S129" s="468">
        <f t="shared" si="18"/>
        <v>0</v>
      </c>
      <c r="T129" s="601"/>
      <c r="U129" s="602">
        <f>S129</f>
        <v>0</v>
      </c>
      <c r="V129" s="602"/>
      <c r="W129" s="602"/>
      <c r="X129" s="609"/>
      <c r="Y129" s="602"/>
      <c r="Z129" s="603"/>
      <c r="AA129" s="76"/>
      <c r="AB129" s="76"/>
      <c r="AC129" s="76"/>
    </row>
    <row r="130" spans="1:29" ht="15.75">
      <c r="A130" s="393">
        <v>3</v>
      </c>
      <c r="B130" s="424" t="s">
        <v>307</v>
      </c>
      <c r="C130" s="390"/>
      <c r="D130" s="390"/>
      <c r="I130" s="425"/>
      <c r="J130" s="408"/>
      <c r="K130" s="425"/>
      <c r="L130" s="425"/>
      <c r="M130" s="425"/>
      <c r="N130" s="468"/>
      <c r="O130" s="425"/>
      <c r="P130" s="467"/>
      <c r="Q130" s="468"/>
      <c r="R130" s="468"/>
      <c r="S130" s="468"/>
      <c r="T130" s="601"/>
      <c r="U130" s="602"/>
      <c r="V130" s="602"/>
      <c r="W130" s="602"/>
      <c r="X130" s="609"/>
      <c r="Y130" s="602"/>
      <c r="Z130" s="603"/>
      <c r="AA130" s="76"/>
      <c r="AB130" s="76"/>
      <c r="AC130" s="76"/>
    </row>
    <row r="131" spans="1:29" ht="15.75">
      <c r="A131" s="111"/>
      <c r="B131" s="424"/>
      <c r="C131" s="590" t="s">
        <v>113</v>
      </c>
      <c r="D131" s="390"/>
      <c r="I131" s="425">
        <f>ELITE!H34</f>
        <v>0</v>
      </c>
      <c r="J131" s="408"/>
      <c r="K131" s="425">
        <v>1</v>
      </c>
      <c r="L131" s="425">
        <f aca="true" t="shared" si="19" ref="L131:L137">K131*(I131+J131)</f>
        <v>0</v>
      </c>
      <c r="M131" s="425">
        <f>M122</f>
        <v>0.8333333333333333</v>
      </c>
      <c r="N131" s="468">
        <f aca="true" t="shared" si="20" ref="N131:N137">L131*M131</f>
        <v>0</v>
      </c>
      <c r="O131" s="425">
        <f>O122</f>
        <v>1.0714285714285714</v>
      </c>
      <c r="P131" s="467">
        <f aca="true" t="shared" si="21" ref="P131:P137">L131*O131</f>
        <v>0</v>
      </c>
      <c r="Q131" s="425">
        <f>Q122</f>
        <v>0.09</v>
      </c>
      <c r="R131" s="425">
        <v>0.6666666666666666</v>
      </c>
      <c r="S131" s="468">
        <f aca="true" t="shared" si="22" ref="S131:S137">L131*Q131*R131</f>
        <v>0</v>
      </c>
      <c r="T131" s="601"/>
      <c r="U131" s="602"/>
      <c r="V131" s="602"/>
      <c r="W131" s="602"/>
      <c r="X131" s="609">
        <f>S131</f>
        <v>0</v>
      </c>
      <c r="Y131" s="602"/>
      <c r="Z131" s="603"/>
      <c r="AA131" s="76"/>
      <c r="AB131" s="76"/>
      <c r="AC131" s="76"/>
    </row>
    <row r="132" spans="1:29" ht="15.75">
      <c r="A132" s="111"/>
      <c r="B132" s="424"/>
      <c r="C132" s="390" t="s">
        <v>274</v>
      </c>
      <c r="D132" s="390"/>
      <c r="I132" s="425">
        <f>ELITE!H35</f>
        <v>0</v>
      </c>
      <c r="J132" s="408"/>
      <c r="K132" s="425">
        <v>1</v>
      </c>
      <c r="L132" s="425">
        <f t="shared" si="19"/>
        <v>0</v>
      </c>
      <c r="M132" s="425">
        <f>M123</f>
        <v>0.8333333333333333</v>
      </c>
      <c r="N132" s="468">
        <f t="shared" si="20"/>
        <v>0</v>
      </c>
      <c r="O132" s="425">
        <f>O123</f>
        <v>1.0714285714285714</v>
      </c>
      <c r="P132" s="467">
        <f t="shared" si="21"/>
        <v>0</v>
      </c>
      <c r="Q132" s="425">
        <f>Q123</f>
        <v>1.39</v>
      </c>
      <c r="R132" s="425">
        <v>0.6666666666666666</v>
      </c>
      <c r="S132" s="468">
        <f t="shared" si="22"/>
        <v>0</v>
      </c>
      <c r="T132" s="601"/>
      <c r="U132" s="604">
        <f>S132</f>
        <v>0</v>
      </c>
      <c r="V132" s="602"/>
      <c r="W132" s="602"/>
      <c r="X132" s="609"/>
      <c r="Y132" s="602"/>
      <c r="Z132" s="603"/>
      <c r="AA132" s="76"/>
      <c r="AB132" s="76"/>
      <c r="AC132" s="76"/>
    </row>
    <row r="133" spans="1:29" ht="15.75">
      <c r="A133" s="111"/>
      <c r="B133" s="424"/>
      <c r="C133" s="390" t="s">
        <v>416</v>
      </c>
      <c r="D133" s="390"/>
      <c r="I133" s="425">
        <f>ELITE!H36</f>
        <v>0</v>
      </c>
      <c r="J133" s="408"/>
      <c r="K133" s="425">
        <v>1.5</v>
      </c>
      <c r="L133" s="425">
        <f t="shared" si="19"/>
        <v>0</v>
      </c>
      <c r="M133" s="425">
        <f>M124</f>
        <v>1.25</v>
      </c>
      <c r="N133" s="468">
        <f t="shared" si="20"/>
        <v>0</v>
      </c>
      <c r="O133" s="425">
        <f>O124</f>
        <v>1.4285714285714284</v>
      </c>
      <c r="P133" s="467">
        <f t="shared" si="21"/>
        <v>0</v>
      </c>
      <c r="Q133" s="425">
        <f>Q124</f>
        <v>0.09</v>
      </c>
      <c r="R133" s="425">
        <v>0.6666666666666666</v>
      </c>
      <c r="S133" s="468">
        <f t="shared" si="22"/>
        <v>0</v>
      </c>
      <c r="T133" s="601"/>
      <c r="U133" s="602"/>
      <c r="V133" s="602"/>
      <c r="W133" s="602"/>
      <c r="X133" s="609">
        <f>S133</f>
        <v>0</v>
      </c>
      <c r="Y133" s="602"/>
      <c r="Z133" s="603"/>
      <c r="AA133" s="76"/>
      <c r="AB133" s="76"/>
      <c r="AC133" s="76"/>
    </row>
    <row r="134" spans="1:29" ht="15.75">
      <c r="A134" s="111"/>
      <c r="B134" s="424"/>
      <c r="C134" s="390" t="s">
        <v>437</v>
      </c>
      <c r="D134" s="390"/>
      <c r="I134" s="425">
        <f>ELITE!H37</f>
        <v>0</v>
      </c>
      <c r="J134" s="408"/>
      <c r="K134" s="425">
        <v>2</v>
      </c>
      <c r="L134" s="425">
        <f t="shared" si="19"/>
        <v>0</v>
      </c>
      <c r="M134" s="468">
        <f>C20</f>
        <v>0.8333333333333333</v>
      </c>
      <c r="N134" s="468">
        <f t="shared" si="20"/>
        <v>0</v>
      </c>
      <c r="O134" s="468">
        <f>G23</f>
        <v>1.0714285714285714</v>
      </c>
      <c r="P134" s="467">
        <f t="shared" si="21"/>
        <v>0</v>
      </c>
      <c r="Q134" s="468">
        <f>K21</f>
        <v>0.09</v>
      </c>
      <c r="R134" s="468">
        <v>0.6666666666666666</v>
      </c>
      <c r="S134" s="468">
        <f t="shared" si="22"/>
        <v>0</v>
      </c>
      <c r="T134" s="601"/>
      <c r="U134" s="602"/>
      <c r="V134" s="602"/>
      <c r="W134" s="602"/>
      <c r="X134" s="609"/>
      <c r="Y134" s="602"/>
      <c r="Z134" s="612">
        <f>S134</f>
        <v>0</v>
      </c>
      <c r="AA134" s="76"/>
      <c r="AB134" s="76"/>
      <c r="AC134" s="76"/>
    </row>
    <row r="135" spans="1:29" ht="15.75">
      <c r="A135" s="111"/>
      <c r="B135" s="424"/>
      <c r="C135" s="390" t="s">
        <v>438</v>
      </c>
      <c r="D135" s="390"/>
      <c r="I135" s="425">
        <f>ELITE!H38</f>
        <v>0</v>
      </c>
      <c r="J135" s="408"/>
      <c r="K135" s="425">
        <v>1</v>
      </c>
      <c r="L135" s="425">
        <f t="shared" si="19"/>
        <v>0</v>
      </c>
      <c r="M135" s="468">
        <f>C16</f>
        <v>2.5</v>
      </c>
      <c r="N135" s="468">
        <f t="shared" si="20"/>
        <v>0</v>
      </c>
      <c r="O135" s="425">
        <f>G27</f>
        <v>0</v>
      </c>
      <c r="P135" s="467">
        <f t="shared" si="21"/>
        <v>0</v>
      </c>
      <c r="Q135" s="468">
        <f>O22</f>
        <v>0.28</v>
      </c>
      <c r="R135" s="468">
        <v>0.6666666666666666</v>
      </c>
      <c r="S135" s="468">
        <f t="shared" si="22"/>
        <v>0</v>
      </c>
      <c r="T135" s="601"/>
      <c r="U135" s="602">
        <f>S135*1/6</f>
        <v>0</v>
      </c>
      <c r="V135" s="602"/>
      <c r="W135" s="602"/>
      <c r="X135" s="609"/>
      <c r="Y135" s="602">
        <f>S135*5/6</f>
        <v>0</v>
      </c>
      <c r="Z135" s="603"/>
      <c r="AA135" s="76"/>
      <c r="AB135" s="76"/>
      <c r="AC135" s="76"/>
    </row>
    <row r="136" spans="1:29" ht="15.75">
      <c r="A136" s="111"/>
      <c r="B136" s="424"/>
      <c r="C136" s="390" t="s">
        <v>309</v>
      </c>
      <c r="D136" s="390"/>
      <c r="I136" s="425">
        <f>ELITE!H39</f>
        <v>0</v>
      </c>
      <c r="J136" s="408"/>
      <c r="K136" s="425">
        <v>3</v>
      </c>
      <c r="L136" s="425">
        <f t="shared" si="19"/>
        <v>0</v>
      </c>
      <c r="M136" s="425">
        <f>M99</f>
        <v>2.5</v>
      </c>
      <c r="N136" s="468">
        <f t="shared" si="20"/>
        <v>0</v>
      </c>
      <c r="O136" s="425">
        <f>O99</f>
        <v>0</v>
      </c>
      <c r="P136" s="467">
        <f t="shared" si="21"/>
        <v>0</v>
      </c>
      <c r="Q136" s="425">
        <f>Q99</f>
        <v>0.37</v>
      </c>
      <c r="R136" s="425">
        <v>0.6666666666666666</v>
      </c>
      <c r="S136" s="468">
        <f t="shared" si="22"/>
        <v>0</v>
      </c>
      <c r="T136" s="601"/>
      <c r="U136" s="602"/>
      <c r="V136" s="602"/>
      <c r="W136" s="604">
        <f>S136</f>
        <v>0</v>
      </c>
      <c r="X136" s="609"/>
      <c r="Y136" s="602"/>
      <c r="Z136" s="603"/>
      <c r="AA136" s="76"/>
      <c r="AB136" s="76"/>
      <c r="AC136" s="76"/>
    </row>
    <row r="137" spans="1:29" ht="15.75">
      <c r="A137" s="111"/>
      <c r="B137" s="424"/>
      <c r="C137" s="390" t="s">
        <v>299</v>
      </c>
      <c r="D137" s="390"/>
      <c r="I137" s="425">
        <f>ELITE!H40</f>
        <v>0</v>
      </c>
      <c r="J137" s="408"/>
      <c r="K137" s="425">
        <v>1</v>
      </c>
      <c r="L137" s="425">
        <f t="shared" si="19"/>
        <v>0</v>
      </c>
      <c r="M137" s="425">
        <f>M102</f>
        <v>3.333333333333333</v>
      </c>
      <c r="N137" s="468">
        <f t="shared" si="20"/>
        <v>0</v>
      </c>
      <c r="O137" s="425">
        <f>O102</f>
        <v>0</v>
      </c>
      <c r="P137" s="467">
        <f t="shared" si="21"/>
        <v>0</v>
      </c>
      <c r="Q137" s="468">
        <f>Q102</f>
        <v>1.94</v>
      </c>
      <c r="R137" s="425">
        <f>R136</f>
        <v>0.6666666666666666</v>
      </c>
      <c r="S137" s="468">
        <f t="shared" si="22"/>
        <v>0</v>
      </c>
      <c r="T137" s="601"/>
      <c r="U137" s="602"/>
      <c r="V137" s="604">
        <f>S137</f>
        <v>0</v>
      </c>
      <c r="W137" s="602"/>
      <c r="X137" s="609"/>
      <c r="Z137" s="603"/>
      <c r="AA137" s="76"/>
      <c r="AB137" s="76"/>
      <c r="AC137" s="76"/>
    </row>
    <row r="138" spans="1:29" ht="15.75">
      <c r="A138" s="393">
        <v>4</v>
      </c>
      <c r="B138" s="424" t="s">
        <v>308</v>
      </c>
      <c r="C138" s="390"/>
      <c r="D138" s="390"/>
      <c r="I138" s="425"/>
      <c r="J138" s="408"/>
      <c r="K138" s="425"/>
      <c r="L138" s="425"/>
      <c r="M138" s="425"/>
      <c r="N138" s="468"/>
      <c r="O138" s="425"/>
      <c r="P138" s="467"/>
      <c r="Q138" s="425"/>
      <c r="R138" s="425"/>
      <c r="S138" s="468"/>
      <c r="T138" s="601"/>
      <c r="U138" s="602"/>
      <c r="V138" s="602"/>
      <c r="W138" s="602"/>
      <c r="X138" s="609"/>
      <c r="Y138" s="604"/>
      <c r="Z138" s="603"/>
      <c r="AA138" s="76"/>
      <c r="AB138" s="76"/>
      <c r="AC138" s="76"/>
    </row>
    <row r="139" spans="1:29" ht="15.75">
      <c r="A139" s="111"/>
      <c r="B139" s="424"/>
      <c r="C139" s="390" t="s">
        <v>113</v>
      </c>
      <c r="D139" s="390"/>
      <c r="I139" s="425">
        <f>ELITE!H46</f>
        <v>0</v>
      </c>
      <c r="J139" s="408"/>
      <c r="K139" s="425">
        <v>1</v>
      </c>
      <c r="L139" s="425">
        <f aca="true" t="shared" si="23" ref="L139:L150">K139*(I139+J139)</f>
        <v>0</v>
      </c>
      <c r="M139" s="425">
        <f aca="true" t="shared" si="24" ref="M139:M149">M93</f>
        <v>0.8333333333333333</v>
      </c>
      <c r="N139" s="468">
        <f aca="true" t="shared" si="25" ref="N139:N150">L139*M139</f>
        <v>0</v>
      </c>
      <c r="O139" s="425">
        <f aca="true" t="shared" si="26" ref="O139:O149">O93</f>
        <v>1.0714285714285714</v>
      </c>
      <c r="P139" s="467">
        <f aca="true" t="shared" si="27" ref="P139:P150">L139*O139</f>
        <v>0</v>
      </c>
      <c r="Q139" s="425">
        <f aca="true" t="shared" si="28" ref="Q139:Q149">Q93</f>
        <v>0.09</v>
      </c>
      <c r="R139" s="425">
        <v>0.6666666666666666</v>
      </c>
      <c r="S139" s="468">
        <f aca="true" t="shared" si="29" ref="S139:S150">L139*Q139*R139</f>
        <v>0</v>
      </c>
      <c r="T139" s="601"/>
      <c r="U139" s="602"/>
      <c r="V139" s="602"/>
      <c r="W139" s="602"/>
      <c r="X139" s="609">
        <f>S139</f>
        <v>0</v>
      </c>
      <c r="Y139" s="604"/>
      <c r="Z139" s="603"/>
      <c r="AA139" s="76"/>
      <c r="AB139" s="76"/>
      <c r="AC139" s="76"/>
    </row>
    <row r="140" spans="1:29" ht="15.75">
      <c r="A140" s="111"/>
      <c r="B140" s="424"/>
      <c r="C140" s="390" t="s">
        <v>274</v>
      </c>
      <c r="D140" s="390"/>
      <c r="I140" s="425">
        <f>ELITE!H48+ELITE!H72+ELITE!H73+ELITE!H50</f>
        <v>0</v>
      </c>
      <c r="J140" s="408"/>
      <c r="K140" s="425">
        <v>1</v>
      </c>
      <c r="L140" s="425">
        <f t="shared" si="23"/>
        <v>0</v>
      </c>
      <c r="M140" s="425">
        <f t="shared" si="24"/>
        <v>0.8333333333333333</v>
      </c>
      <c r="N140" s="468">
        <f t="shared" si="25"/>
        <v>0</v>
      </c>
      <c r="O140" s="425">
        <f t="shared" si="26"/>
        <v>1.0714285714285714</v>
      </c>
      <c r="P140" s="467">
        <f t="shared" si="27"/>
        <v>0</v>
      </c>
      <c r="Q140" s="425">
        <f t="shared" si="28"/>
        <v>1.39</v>
      </c>
      <c r="R140" s="425">
        <v>0.6666666666666666</v>
      </c>
      <c r="S140" s="468">
        <f t="shared" si="29"/>
        <v>0</v>
      </c>
      <c r="T140" s="601"/>
      <c r="U140" s="604">
        <f>S140</f>
        <v>0</v>
      </c>
      <c r="V140" s="602"/>
      <c r="W140" s="602"/>
      <c r="X140" s="609"/>
      <c r="Y140" s="604"/>
      <c r="Z140" s="603"/>
      <c r="AA140" s="76"/>
      <c r="AB140" s="76"/>
      <c r="AC140" s="76"/>
    </row>
    <row r="141" spans="1:29" ht="15.75">
      <c r="A141" s="111"/>
      <c r="B141" s="424"/>
      <c r="C141" s="390" t="s">
        <v>416</v>
      </c>
      <c r="D141" s="390"/>
      <c r="I141" s="425">
        <f>ELITE!H47+ELITE!H82+ELITE!H49</f>
        <v>0</v>
      </c>
      <c r="J141" s="408"/>
      <c r="K141" s="425">
        <v>1.5</v>
      </c>
      <c r="L141" s="425">
        <f t="shared" si="23"/>
        <v>0</v>
      </c>
      <c r="M141" s="425">
        <f t="shared" si="24"/>
        <v>1.25</v>
      </c>
      <c r="N141" s="468">
        <f t="shared" si="25"/>
        <v>0</v>
      </c>
      <c r="O141" s="425">
        <f t="shared" si="26"/>
        <v>1.4285714285714284</v>
      </c>
      <c r="P141" s="467">
        <f t="shared" si="27"/>
        <v>0</v>
      </c>
      <c r="Q141" s="425">
        <f t="shared" si="28"/>
        <v>0.09</v>
      </c>
      <c r="R141" s="425">
        <v>0.6666666666666666</v>
      </c>
      <c r="S141" s="468">
        <f t="shared" si="29"/>
        <v>0</v>
      </c>
      <c r="T141" s="601"/>
      <c r="U141" s="602"/>
      <c r="V141" s="602"/>
      <c r="W141" s="602"/>
      <c r="X141" s="609">
        <f>S141</f>
        <v>0</v>
      </c>
      <c r="Y141" s="604"/>
      <c r="Z141" s="603"/>
      <c r="AA141" s="76"/>
      <c r="AB141" s="76"/>
      <c r="AC141" s="76"/>
    </row>
    <row r="142" spans="1:29" ht="15.75">
      <c r="A142" s="111"/>
      <c r="B142" s="424"/>
      <c r="C142" s="390" t="s">
        <v>426</v>
      </c>
      <c r="D142" s="390"/>
      <c r="I142" s="425">
        <f>ELITE!H51+ELITE!H57+ELITE!H66+ELITE!H75+ELITE!H84</f>
        <v>0</v>
      </c>
      <c r="J142" s="408"/>
      <c r="K142" s="425">
        <v>1.5</v>
      </c>
      <c r="L142" s="425">
        <f t="shared" si="23"/>
        <v>0</v>
      </c>
      <c r="M142" s="425">
        <f t="shared" si="24"/>
        <v>1.25</v>
      </c>
      <c r="N142" s="468">
        <f t="shared" si="25"/>
        <v>0</v>
      </c>
      <c r="O142" s="425">
        <f t="shared" si="26"/>
        <v>1.4285714285714284</v>
      </c>
      <c r="P142" s="467">
        <f t="shared" si="27"/>
        <v>0</v>
      </c>
      <c r="Q142" s="425">
        <f t="shared" si="28"/>
        <v>1.39</v>
      </c>
      <c r="R142" s="425">
        <v>0.6666666666666666</v>
      </c>
      <c r="S142" s="468">
        <f t="shared" si="29"/>
        <v>0</v>
      </c>
      <c r="T142" s="601"/>
      <c r="U142" s="604">
        <f>S142</f>
        <v>0</v>
      </c>
      <c r="V142" s="602"/>
      <c r="W142" s="602"/>
      <c r="X142" s="609"/>
      <c r="Y142" s="604"/>
      <c r="Z142" s="603"/>
      <c r="AA142" s="76"/>
      <c r="AB142" s="76"/>
      <c r="AC142" s="76"/>
    </row>
    <row r="143" spans="1:29" ht="15.75">
      <c r="A143" s="111"/>
      <c r="B143" s="424"/>
      <c r="C143" s="390" t="s">
        <v>427</v>
      </c>
      <c r="D143" s="390"/>
      <c r="I143" s="425">
        <f>ELITE!H56+ELITE!H65+ELITE!H74+ELITE!H83+ELITE!H52</f>
        <v>0</v>
      </c>
      <c r="J143" s="408"/>
      <c r="K143" s="425">
        <v>1</v>
      </c>
      <c r="L143" s="425">
        <f t="shared" si="23"/>
        <v>0</v>
      </c>
      <c r="M143" s="425">
        <f t="shared" si="24"/>
        <v>0.8333333333333333</v>
      </c>
      <c r="N143" s="468">
        <f t="shared" si="25"/>
        <v>0</v>
      </c>
      <c r="O143" s="425">
        <f t="shared" si="26"/>
        <v>1.0714285714285714</v>
      </c>
      <c r="P143" s="467">
        <f t="shared" si="27"/>
        <v>0</v>
      </c>
      <c r="Q143" s="425">
        <f t="shared" si="28"/>
        <v>3.92</v>
      </c>
      <c r="R143" s="425">
        <v>0.6666666666666666</v>
      </c>
      <c r="S143" s="468">
        <f t="shared" si="29"/>
        <v>0</v>
      </c>
      <c r="T143" s="610">
        <f>S143</f>
        <v>0</v>
      </c>
      <c r="U143" s="602"/>
      <c r="V143" s="602"/>
      <c r="W143" s="602"/>
      <c r="X143" s="609"/>
      <c r="Y143" s="604"/>
      <c r="Z143" s="603"/>
      <c r="AA143" s="76"/>
      <c r="AB143" s="76"/>
      <c r="AC143" s="76"/>
    </row>
    <row r="144" spans="1:29" ht="15.75">
      <c r="A144" s="111"/>
      <c r="B144" s="424"/>
      <c r="C144" s="390" t="s">
        <v>280</v>
      </c>
      <c r="D144" s="390"/>
      <c r="I144" s="425">
        <f>ELITE!H53+ELITE!H55+ELITE!H64</f>
        <v>0</v>
      </c>
      <c r="J144" s="408"/>
      <c r="K144" s="425">
        <v>1</v>
      </c>
      <c r="L144" s="425">
        <f t="shared" si="23"/>
        <v>0</v>
      </c>
      <c r="M144" s="425" t="str">
        <f t="shared" si="24"/>
        <v>0.5</v>
      </c>
      <c r="N144" s="468">
        <f t="shared" si="25"/>
        <v>0</v>
      </c>
      <c r="O144" s="425">
        <f t="shared" si="26"/>
        <v>0.5</v>
      </c>
      <c r="P144" s="467">
        <f t="shared" si="27"/>
        <v>0</v>
      </c>
      <c r="Q144" s="425">
        <f t="shared" si="28"/>
        <v>0.09</v>
      </c>
      <c r="R144" s="425">
        <v>1</v>
      </c>
      <c r="S144" s="468">
        <f t="shared" si="29"/>
        <v>0</v>
      </c>
      <c r="T144" s="601"/>
      <c r="U144" s="602"/>
      <c r="V144" s="602"/>
      <c r="W144" s="602"/>
      <c r="X144" s="609">
        <f>S144</f>
        <v>0</v>
      </c>
      <c r="Y144" s="604"/>
      <c r="Z144" s="603"/>
      <c r="AA144" s="76"/>
      <c r="AB144" s="76"/>
      <c r="AC144" s="76"/>
    </row>
    <row r="145" spans="1:29" ht="15.75">
      <c r="A145" s="111"/>
      <c r="B145" s="424"/>
      <c r="C145" s="390" t="s">
        <v>309</v>
      </c>
      <c r="D145" s="390"/>
      <c r="I145" s="425">
        <f>ELITE!H58+ELITE!H67+ELITE!H76+ELITE!H85</f>
        <v>0</v>
      </c>
      <c r="J145" s="408"/>
      <c r="K145" s="425">
        <v>3</v>
      </c>
      <c r="L145" s="425">
        <f t="shared" si="23"/>
        <v>0</v>
      </c>
      <c r="M145" s="425">
        <f t="shared" si="24"/>
        <v>2.5</v>
      </c>
      <c r="N145" s="468">
        <f t="shared" si="25"/>
        <v>0</v>
      </c>
      <c r="O145" s="425">
        <f t="shared" si="26"/>
        <v>0</v>
      </c>
      <c r="P145" s="467">
        <f t="shared" si="27"/>
        <v>0</v>
      </c>
      <c r="Q145" s="425">
        <f t="shared" si="28"/>
        <v>0.37</v>
      </c>
      <c r="R145" s="425">
        <v>0.6666666666666666</v>
      </c>
      <c r="S145" s="468">
        <f t="shared" si="29"/>
        <v>0</v>
      </c>
      <c r="T145" s="601"/>
      <c r="U145" s="602"/>
      <c r="V145" s="602"/>
      <c r="W145" s="604">
        <f>S145</f>
        <v>0</v>
      </c>
      <c r="X145" s="609"/>
      <c r="Y145" s="604"/>
      <c r="Z145" s="603"/>
      <c r="AA145" s="76"/>
      <c r="AB145" s="76"/>
      <c r="AC145" s="76"/>
    </row>
    <row r="146" spans="1:29" ht="15.75">
      <c r="A146" s="111"/>
      <c r="B146" s="424"/>
      <c r="C146" s="390" t="s">
        <v>429</v>
      </c>
      <c r="D146" s="390"/>
      <c r="I146" s="425">
        <f>ELITE!H59+ELITE!H68+ELITE!H86+ELITE!H77</f>
        <v>0</v>
      </c>
      <c r="J146" s="408"/>
      <c r="K146" s="425">
        <v>1</v>
      </c>
      <c r="L146" s="425">
        <f t="shared" si="23"/>
        <v>0</v>
      </c>
      <c r="M146" s="425">
        <f t="shared" si="24"/>
        <v>1.6666666666666665</v>
      </c>
      <c r="N146" s="468">
        <f t="shared" si="25"/>
        <v>0</v>
      </c>
      <c r="O146" s="425">
        <f t="shared" si="26"/>
        <v>0</v>
      </c>
      <c r="P146" s="467">
        <f t="shared" si="27"/>
        <v>0</v>
      </c>
      <c r="Q146" s="425">
        <f t="shared" si="28"/>
        <v>3.92</v>
      </c>
      <c r="R146" s="425">
        <v>0.6666666666666666</v>
      </c>
      <c r="S146" s="468">
        <f t="shared" si="29"/>
        <v>0</v>
      </c>
      <c r="T146" s="610">
        <f>S146</f>
        <v>0</v>
      </c>
      <c r="U146" s="602"/>
      <c r="V146" s="602"/>
      <c r="W146" s="602"/>
      <c r="X146" s="609"/>
      <c r="Y146" s="604"/>
      <c r="Z146" s="603"/>
      <c r="AA146" s="76"/>
      <c r="AB146" s="76"/>
      <c r="AC146" s="76"/>
    </row>
    <row r="147" spans="1:29" ht="15.75">
      <c r="A147" s="111"/>
      <c r="B147" s="424"/>
      <c r="C147" s="390" t="s">
        <v>428</v>
      </c>
      <c r="D147" s="390"/>
      <c r="I147" s="425">
        <f>ELITE!H60+ELITE!H69+ELITE!H78+ELITE!H87</f>
        <v>0</v>
      </c>
      <c r="J147" s="408"/>
      <c r="K147" s="425">
        <v>1</v>
      </c>
      <c r="L147" s="425">
        <f t="shared" si="23"/>
        <v>0</v>
      </c>
      <c r="M147" s="425">
        <f t="shared" si="24"/>
        <v>2.5</v>
      </c>
      <c r="N147" s="468">
        <f t="shared" si="25"/>
        <v>0</v>
      </c>
      <c r="O147" s="425">
        <f t="shared" si="26"/>
        <v>0</v>
      </c>
      <c r="P147" s="467">
        <f t="shared" si="27"/>
        <v>0</v>
      </c>
      <c r="Q147" s="425">
        <f t="shared" si="28"/>
        <v>1.39</v>
      </c>
      <c r="R147" s="425">
        <v>0.43209876543209874</v>
      </c>
      <c r="S147" s="468">
        <f t="shared" si="29"/>
        <v>0</v>
      </c>
      <c r="T147" s="601"/>
      <c r="U147" s="604">
        <f>S147</f>
        <v>0</v>
      </c>
      <c r="V147" s="602"/>
      <c r="W147" s="602"/>
      <c r="X147" s="609"/>
      <c r="Y147" s="604"/>
      <c r="Z147" s="603"/>
      <c r="AA147" s="76"/>
      <c r="AB147" s="76"/>
      <c r="AC147" s="76"/>
    </row>
    <row r="148" spans="1:29" ht="15.75">
      <c r="A148" s="111"/>
      <c r="B148" s="424"/>
      <c r="C148" s="390" t="s">
        <v>299</v>
      </c>
      <c r="D148" s="390"/>
      <c r="I148" s="425">
        <f>ELITE!H61+ELITE!H70+ELITE!H79+ELITE!H88</f>
        <v>0</v>
      </c>
      <c r="J148" s="408"/>
      <c r="K148" s="425">
        <v>1</v>
      </c>
      <c r="L148" s="425">
        <f t="shared" si="23"/>
        <v>0</v>
      </c>
      <c r="M148" s="425">
        <f t="shared" si="24"/>
        <v>3.333333333333333</v>
      </c>
      <c r="N148" s="468">
        <f t="shared" si="25"/>
        <v>0</v>
      </c>
      <c r="O148" s="425">
        <f t="shared" si="26"/>
        <v>0</v>
      </c>
      <c r="P148" s="467">
        <f t="shared" si="27"/>
        <v>0</v>
      </c>
      <c r="Q148" s="425">
        <f t="shared" si="28"/>
        <v>1.94</v>
      </c>
      <c r="R148" s="425">
        <f>R149</f>
        <v>0.6666666666666666</v>
      </c>
      <c r="S148" s="468">
        <f t="shared" si="29"/>
        <v>0</v>
      </c>
      <c r="T148" s="601"/>
      <c r="U148" s="602"/>
      <c r="V148" s="604">
        <f>S148</f>
        <v>0</v>
      </c>
      <c r="W148" s="602"/>
      <c r="X148" s="609"/>
      <c r="Y148" s="604"/>
      <c r="Z148" s="603"/>
      <c r="AA148" s="76"/>
      <c r="AB148" s="76"/>
      <c r="AC148" s="76"/>
    </row>
    <row r="149" spans="1:29" ht="15.75">
      <c r="A149" s="111"/>
      <c r="B149" s="424"/>
      <c r="C149" s="390" t="s">
        <v>112</v>
      </c>
      <c r="D149" s="390"/>
      <c r="I149" s="425">
        <f>ELITE!H62+ELITE!H71+ELITE!H89+ELITE!H80</f>
        <v>0</v>
      </c>
      <c r="J149" s="408"/>
      <c r="K149" s="425">
        <v>1</v>
      </c>
      <c r="L149" s="425">
        <f t="shared" si="23"/>
        <v>0</v>
      </c>
      <c r="M149" s="425">
        <f t="shared" si="24"/>
        <v>3.333333333333333</v>
      </c>
      <c r="N149" s="468">
        <f t="shared" si="25"/>
        <v>0</v>
      </c>
      <c r="O149" s="425">
        <f t="shared" si="26"/>
        <v>0</v>
      </c>
      <c r="P149" s="467">
        <f t="shared" si="27"/>
        <v>0</v>
      </c>
      <c r="Q149" s="425">
        <f t="shared" si="28"/>
        <v>2.5</v>
      </c>
      <c r="R149" s="425">
        <v>0.6666666666666666</v>
      </c>
      <c r="S149" s="468">
        <f t="shared" si="29"/>
        <v>0</v>
      </c>
      <c r="T149" s="601"/>
      <c r="U149" s="604">
        <f>S149</f>
        <v>0</v>
      </c>
      <c r="V149" s="602"/>
      <c r="W149" s="602"/>
      <c r="X149" s="609"/>
      <c r="Y149" s="604"/>
      <c r="Z149" s="603"/>
      <c r="AA149" s="76"/>
      <c r="AB149" s="76"/>
      <c r="AC149" s="76"/>
    </row>
    <row r="150" spans="1:29" ht="16.5" thickBot="1">
      <c r="A150" s="111"/>
      <c r="B150" s="424"/>
      <c r="C150" s="390" t="s">
        <v>122</v>
      </c>
      <c r="D150" s="390"/>
      <c r="I150" s="425">
        <f>ELITE!H54+ELITE!H63+ELITE!H81</f>
        <v>0</v>
      </c>
      <c r="J150" s="408"/>
      <c r="K150" s="425">
        <v>2</v>
      </c>
      <c r="L150" s="425">
        <f t="shared" si="23"/>
        <v>0</v>
      </c>
      <c r="M150" s="425">
        <f>M120</f>
        <v>1.6666666666666665</v>
      </c>
      <c r="N150" s="468">
        <f t="shared" si="25"/>
        <v>0</v>
      </c>
      <c r="O150" s="425">
        <f>O120</f>
        <v>1.7857142857142858</v>
      </c>
      <c r="P150" s="467">
        <f t="shared" si="27"/>
        <v>0</v>
      </c>
      <c r="Q150" s="425">
        <f>Q120</f>
        <v>0.09</v>
      </c>
      <c r="R150" s="425">
        <v>0.6666666666666666</v>
      </c>
      <c r="S150" s="468">
        <f t="shared" si="29"/>
        <v>0</v>
      </c>
      <c r="T150" s="601"/>
      <c r="U150" s="602"/>
      <c r="V150" s="602"/>
      <c r="W150" s="602"/>
      <c r="X150" s="609">
        <f>S150</f>
        <v>0</v>
      </c>
      <c r="Y150" s="604"/>
      <c r="Z150" s="603"/>
      <c r="AA150" s="76"/>
      <c r="AB150" s="76"/>
      <c r="AC150" s="76"/>
    </row>
    <row r="151" spans="1:29" ht="13.5" thickBot="1">
      <c r="A151" s="395"/>
      <c r="B151" s="388" t="s">
        <v>15</v>
      </c>
      <c r="C151" s="388"/>
      <c r="D151" s="398"/>
      <c r="E151" s="398"/>
      <c r="F151" s="398"/>
      <c r="G151" s="398"/>
      <c r="H151" s="428"/>
      <c r="I151" s="381">
        <f>SUM(I152:I170)</f>
        <v>0</v>
      </c>
      <c r="J151" s="381">
        <f>SUM(J152:J170)</f>
        <v>0</v>
      </c>
      <c r="K151" s="381"/>
      <c r="L151" s="381">
        <f>SUM(L152:L170)</f>
        <v>0</v>
      </c>
      <c r="M151" s="436">
        <f>SUM(M152:M170)</f>
        <v>20.83333333333333</v>
      </c>
      <c r="N151" s="436">
        <f>SUM(N152:N170)</f>
        <v>0</v>
      </c>
      <c r="O151" s="436">
        <f>SUM(O152:O170)</f>
        <v>24.928571428571427</v>
      </c>
      <c r="P151" s="436">
        <f>SUM(P152:P170)</f>
        <v>0</v>
      </c>
      <c r="Q151" s="436"/>
      <c r="R151" s="436"/>
      <c r="S151" s="471">
        <f>SUM(S152:S170)</f>
        <v>0</v>
      </c>
      <c r="T151" s="601"/>
      <c r="U151" s="602"/>
      <c r="V151" s="602"/>
      <c r="W151" s="602"/>
      <c r="X151" s="609"/>
      <c r="Y151" s="602"/>
      <c r="Z151" s="603"/>
      <c r="AA151" s="76"/>
      <c r="AB151" s="76"/>
      <c r="AC151" s="76"/>
    </row>
    <row r="152" spans="1:29" ht="15.75">
      <c r="A152" s="393">
        <v>1</v>
      </c>
      <c r="B152" s="424" t="s">
        <v>443</v>
      </c>
      <c r="C152" s="390"/>
      <c r="D152" s="432"/>
      <c r="I152" s="425"/>
      <c r="J152" s="408"/>
      <c r="K152" s="425"/>
      <c r="L152" s="425">
        <f aca="true" t="shared" si="30" ref="L152:L163">K152*(I152+J152)</f>
        <v>0</v>
      </c>
      <c r="M152" s="467"/>
      <c r="N152" s="467"/>
      <c r="O152" s="467"/>
      <c r="P152" s="467"/>
      <c r="Q152" s="467"/>
      <c r="R152" s="467"/>
      <c r="S152" s="468"/>
      <c r="T152" s="601"/>
      <c r="U152" s="602"/>
      <c r="V152" s="602"/>
      <c r="W152" s="602"/>
      <c r="X152" s="609"/>
      <c r="Y152" s="602"/>
      <c r="Z152" s="603"/>
      <c r="AA152" s="76"/>
      <c r="AB152" s="76"/>
      <c r="AC152" s="76"/>
    </row>
    <row r="153" spans="1:29" ht="12.75">
      <c r="A153" s="393"/>
      <c r="B153" s="432"/>
      <c r="C153" s="390" t="s">
        <v>113</v>
      </c>
      <c r="D153" s="432"/>
      <c r="I153" s="425">
        <f>'A.RAPIDO'!H5</f>
        <v>0</v>
      </c>
      <c r="J153" s="408"/>
      <c r="K153" s="425">
        <v>1</v>
      </c>
      <c r="L153" s="425">
        <f t="shared" si="30"/>
        <v>0</v>
      </c>
      <c r="M153" s="467">
        <f>C20</f>
        <v>0.8333333333333333</v>
      </c>
      <c r="N153" s="467">
        <f aca="true" t="shared" si="31" ref="N153:N163">L153*M153</f>
        <v>0</v>
      </c>
      <c r="O153" s="467">
        <f>G22</f>
        <v>1.4285714285714284</v>
      </c>
      <c r="P153" s="467">
        <f aca="true" t="shared" si="32" ref="P153:P163">O153*L153</f>
        <v>0</v>
      </c>
      <c r="Q153" s="467">
        <f>Q150</f>
        <v>0.09</v>
      </c>
      <c r="R153" s="467">
        <v>0.6666666666666666</v>
      </c>
      <c r="S153" s="468">
        <f aca="true" t="shared" si="33" ref="S153:S163">L153*Q153*R153</f>
        <v>0</v>
      </c>
      <c r="T153" s="601"/>
      <c r="U153" s="602"/>
      <c r="V153" s="602"/>
      <c r="W153" s="602"/>
      <c r="X153" s="609">
        <f>S153</f>
        <v>0</v>
      </c>
      <c r="Y153" s="602"/>
      <c r="Z153" s="603"/>
      <c r="AA153" s="76"/>
      <c r="AB153" s="76"/>
      <c r="AC153" s="76"/>
    </row>
    <row r="154" spans="1:29" ht="12.75">
      <c r="A154" s="393"/>
      <c r="B154" s="432"/>
      <c r="C154" s="390" t="s">
        <v>442</v>
      </c>
      <c r="D154" s="432"/>
      <c r="I154" s="425">
        <f>'A.RAPIDO'!H6</f>
        <v>0</v>
      </c>
      <c r="J154" s="408"/>
      <c r="K154" s="425">
        <v>1</v>
      </c>
      <c r="L154" s="425">
        <f t="shared" si="30"/>
        <v>0</v>
      </c>
      <c r="M154" s="425">
        <f>M140</f>
        <v>0.8333333333333333</v>
      </c>
      <c r="N154" s="467">
        <f t="shared" si="31"/>
        <v>0</v>
      </c>
      <c r="O154" s="425">
        <f>O140</f>
        <v>1.0714285714285714</v>
      </c>
      <c r="P154" s="467">
        <f t="shared" si="32"/>
        <v>0</v>
      </c>
      <c r="Q154" s="425">
        <f>Q140</f>
        <v>1.39</v>
      </c>
      <c r="R154" s="425">
        <v>0.6666666666666666</v>
      </c>
      <c r="S154" s="468">
        <f t="shared" si="33"/>
        <v>0</v>
      </c>
      <c r="T154" s="601"/>
      <c r="U154" s="604">
        <f>S154</f>
        <v>0</v>
      </c>
      <c r="V154" s="602"/>
      <c r="W154" s="602"/>
      <c r="X154" s="609"/>
      <c r="Y154" s="602"/>
      <c r="Z154" s="603"/>
      <c r="AA154" s="76"/>
      <c r="AB154" s="76"/>
      <c r="AC154" s="76"/>
    </row>
    <row r="155" spans="1:29" ht="15.75">
      <c r="A155" s="393">
        <v>2</v>
      </c>
      <c r="B155" s="424" t="s">
        <v>444</v>
      </c>
      <c r="C155" s="390"/>
      <c r="D155" s="390"/>
      <c r="I155" s="425"/>
      <c r="J155" s="408"/>
      <c r="K155" s="425"/>
      <c r="L155" s="425">
        <f t="shared" si="30"/>
        <v>0</v>
      </c>
      <c r="M155" s="467"/>
      <c r="N155" s="467">
        <f t="shared" si="31"/>
        <v>0</v>
      </c>
      <c r="O155" s="467"/>
      <c r="P155" s="467">
        <f t="shared" si="32"/>
        <v>0</v>
      </c>
      <c r="Q155" s="467"/>
      <c r="R155" s="467"/>
      <c r="S155" s="468">
        <f t="shared" si="33"/>
        <v>0</v>
      </c>
      <c r="T155" s="601"/>
      <c r="U155" s="602"/>
      <c r="V155" s="602"/>
      <c r="W155" s="602"/>
      <c r="X155" s="609"/>
      <c r="Y155" s="602"/>
      <c r="Z155" s="603"/>
      <c r="AA155" s="76"/>
      <c r="AB155" s="76"/>
      <c r="AC155" s="76"/>
    </row>
    <row r="156" spans="1:29" ht="15.75">
      <c r="A156" s="393"/>
      <c r="B156" s="424"/>
      <c r="C156" s="390" t="s">
        <v>417</v>
      </c>
      <c r="D156" s="390"/>
      <c r="I156" s="425">
        <f>'A.RAPIDO'!H16+'A.RAPIDO'!H17+'A.RAPIDO'!H19+'A.RAPIDO'!H22+'A.RAPIDO'!H23</f>
        <v>0</v>
      </c>
      <c r="J156" s="408"/>
      <c r="K156" s="425">
        <v>1.5</v>
      </c>
      <c r="L156" s="425">
        <f t="shared" si="30"/>
        <v>0</v>
      </c>
      <c r="M156" s="468">
        <f>M65</f>
        <v>1.25</v>
      </c>
      <c r="N156" s="467">
        <f t="shared" si="31"/>
        <v>0</v>
      </c>
      <c r="O156" s="468">
        <f>O65</f>
        <v>1.7857142857142858</v>
      </c>
      <c r="P156" s="467">
        <f t="shared" si="32"/>
        <v>0</v>
      </c>
      <c r="Q156" s="468">
        <f>Q65</f>
        <v>0.09</v>
      </c>
      <c r="R156" s="468">
        <v>0.8888888888888888</v>
      </c>
      <c r="S156" s="468">
        <f t="shared" si="33"/>
        <v>0</v>
      </c>
      <c r="T156" s="601"/>
      <c r="U156" s="602"/>
      <c r="V156" s="602"/>
      <c r="W156" s="602"/>
      <c r="X156" s="609">
        <f>S156</f>
        <v>0</v>
      </c>
      <c r="Y156" s="602"/>
      <c r="Z156" s="603"/>
      <c r="AA156" s="76"/>
      <c r="AB156" s="76"/>
      <c r="AC156" s="76"/>
    </row>
    <row r="157" spans="1:29" ht="15.75">
      <c r="A157" s="393"/>
      <c r="B157" s="424"/>
      <c r="C157" s="390" t="s">
        <v>274</v>
      </c>
      <c r="D157" s="390"/>
      <c r="I157" s="425">
        <f>'A.RAPIDO'!H18</f>
        <v>0</v>
      </c>
      <c r="J157" s="408"/>
      <c r="K157" s="425">
        <v>1</v>
      </c>
      <c r="L157" s="425">
        <f t="shared" si="30"/>
        <v>0</v>
      </c>
      <c r="M157" s="468">
        <f>M140</f>
        <v>0.8333333333333333</v>
      </c>
      <c r="N157" s="467">
        <f t="shared" si="31"/>
        <v>0</v>
      </c>
      <c r="O157" s="468">
        <f>O140</f>
        <v>1.0714285714285714</v>
      </c>
      <c r="P157" s="467">
        <f t="shared" si="32"/>
        <v>0</v>
      </c>
      <c r="Q157" s="468">
        <f>Q140</f>
        <v>1.39</v>
      </c>
      <c r="R157" s="468">
        <v>0.6666666666666666</v>
      </c>
      <c r="S157" s="468">
        <f t="shared" si="33"/>
        <v>0</v>
      </c>
      <c r="T157" s="601"/>
      <c r="U157" s="604">
        <f>S157</f>
        <v>0</v>
      </c>
      <c r="V157" s="602"/>
      <c r="W157" s="602"/>
      <c r="X157" s="609"/>
      <c r="Y157" s="602"/>
      <c r="Z157" s="603"/>
      <c r="AA157" s="76"/>
      <c r="AB157" s="76"/>
      <c r="AC157" s="76"/>
    </row>
    <row r="158" spans="1:29" ht="15.75">
      <c r="A158" s="393"/>
      <c r="B158" s="424"/>
      <c r="C158" s="390" t="s">
        <v>426</v>
      </c>
      <c r="D158" s="390"/>
      <c r="I158" s="425">
        <f>'A.RAPIDO'!H21</f>
        <v>0</v>
      </c>
      <c r="J158" s="408"/>
      <c r="K158" s="425">
        <v>1.5</v>
      </c>
      <c r="L158" s="425">
        <f t="shared" si="30"/>
        <v>0</v>
      </c>
      <c r="M158" s="468">
        <f>M142</f>
        <v>1.25</v>
      </c>
      <c r="N158" s="467">
        <f t="shared" si="31"/>
        <v>0</v>
      </c>
      <c r="O158" s="468">
        <f>O142</f>
        <v>1.4285714285714284</v>
      </c>
      <c r="P158" s="467">
        <f t="shared" si="32"/>
        <v>0</v>
      </c>
      <c r="Q158" s="468">
        <f>Q142</f>
        <v>1.39</v>
      </c>
      <c r="R158" s="468">
        <v>0.6666666666666666</v>
      </c>
      <c r="S158" s="468">
        <f t="shared" si="33"/>
        <v>0</v>
      </c>
      <c r="T158" s="601"/>
      <c r="U158" s="604">
        <f>S158</f>
        <v>0</v>
      </c>
      <c r="V158" s="602"/>
      <c r="W158" s="602"/>
      <c r="X158" s="609"/>
      <c r="Y158" s="602"/>
      <c r="Z158" s="603"/>
      <c r="AA158" s="76"/>
      <c r="AB158" s="76"/>
      <c r="AC158" s="76"/>
    </row>
    <row r="159" spans="1:29" ht="15.75">
      <c r="A159" s="393"/>
      <c r="B159" s="424"/>
      <c r="C159" s="390" t="s">
        <v>427</v>
      </c>
      <c r="D159" s="390"/>
      <c r="I159" s="425">
        <f>'A.RAPIDO'!H20</f>
        <v>0</v>
      </c>
      <c r="J159" s="408"/>
      <c r="K159" s="425">
        <v>1</v>
      </c>
      <c r="L159" s="425">
        <f t="shared" si="30"/>
        <v>0</v>
      </c>
      <c r="M159" s="468">
        <f>M143</f>
        <v>0.8333333333333333</v>
      </c>
      <c r="N159" s="467">
        <f t="shared" si="31"/>
        <v>0</v>
      </c>
      <c r="O159" s="468">
        <f>O143</f>
        <v>1.0714285714285714</v>
      </c>
      <c r="P159" s="467">
        <f t="shared" si="32"/>
        <v>0</v>
      </c>
      <c r="Q159" s="468">
        <f>Q143</f>
        <v>3.92</v>
      </c>
      <c r="R159" s="468">
        <v>0.6666666666666666</v>
      </c>
      <c r="S159" s="468">
        <f t="shared" si="33"/>
        <v>0</v>
      </c>
      <c r="T159" s="610">
        <f>S159</f>
        <v>0</v>
      </c>
      <c r="U159" s="602"/>
      <c r="V159" s="602"/>
      <c r="W159" s="602"/>
      <c r="X159" s="609"/>
      <c r="Y159" s="602"/>
      <c r="Z159" s="603"/>
      <c r="AA159" s="76"/>
      <c r="AB159" s="76"/>
      <c r="AC159" s="76"/>
    </row>
    <row r="160" spans="1:29" ht="15.75">
      <c r="A160" s="393"/>
      <c r="B160" s="424"/>
      <c r="C160" s="390" t="s">
        <v>280</v>
      </c>
      <c r="D160" s="390"/>
      <c r="I160" s="425"/>
      <c r="J160" s="408"/>
      <c r="K160" s="425">
        <v>1</v>
      </c>
      <c r="L160" s="425">
        <f t="shared" si="30"/>
        <v>0</v>
      </c>
      <c r="M160" s="468" t="str">
        <f>M144</f>
        <v>0.5</v>
      </c>
      <c r="N160" s="467">
        <f t="shared" si="31"/>
        <v>0</v>
      </c>
      <c r="O160" s="468">
        <f>O144</f>
        <v>0.5</v>
      </c>
      <c r="P160" s="467">
        <f t="shared" si="32"/>
        <v>0</v>
      </c>
      <c r="Q160" s="468">
        <f>Q144</f>
        <v>0.09</v>
      </c>
      <c r="R160" s="468">
        <v>1</v>
      </c>
      <c r="S160" s="468">
        <f t="shared" si="33"/>
        <v>0</v>
      </c>
      <c r="T160" s="601"/>
      <c r="U160" s="602"/>
      <c r="V160" s="602"/>
      <c r="W160" s="602"/>
      <c r="X160" s="609">
        <f>S160</f>
        <v>0</v>
      </c>
      <c r="Y160" s="602"/>
      <c r="Z160" s="603"/>
      <c r="AA160" s="76"/>
      <c r="AB160" s="76"/>
      <c r="AC160" s="76"/>
    </row>
    <row r="161" spans="1:29" ht="15.75">
      <c r="A161" s="393"/>
      <c r="B161" s="424"/>
      <c r="C161" s="390" t="s">
        <v>309</v>
      </c>
      <c r="D161" s="390"/>
      <c r="I161" s="425">
        <f>'A.RAPIDO'!H23</f>
        <v>0</v>
      </c>
      <c r="J161" s="408">
        <f>'A.RAPIDO'!H24</f>
        <v>0</v>
      </c>
      <c r="K161" s="425">
        <v>3</v>
      </c>
      <c r="L161" s="425">
        <f t="shared" si="30"/>
        <v>0</v>
      </c>
      <c r="M161" s="468">
        <f>M145</f>
        <v>2.5</v>
      </c>
      <c r="N161" s="467">
        <f t="shared" si="31"/>
        <v>0</v>
      </c>
      <c r="O161" s="468">
        <f>G18</f>
        <v>2.8571428571428568</v>
      </c>
      <c r="P161" s="467">
        <f t="shared" si="32"/>
        <v>0</v>
      </c>
      <c r="Q161" s="468">
        <f>Q145</f>
        <v>0.37</v>
      </c>
      <c r="R161" s="468">
        <v>0.6666666666666666</v>
      </c>
      <c r="S161" s="468">
        <f t="shared" si="33"/>
        <v>0</v>
      </c>
      <c r="T161" s="601"/>
      <c r="U161" s="602"/>
      <c r="V161" s="602"/>
      <c r="W161" s="605">
        <f>S161</f>
        <v>0</v>
      </c>
      <c r="X161" s="609"/>
      <c r="Y161" s="602"/>
      <c r="Z161" s="603"/>
      <c r="AA161" s="76"/>
      <c r="AB161" s="76"/>
      <c r="AC161" s="76"/>
    </row>
    <row r="162" spans="1:29" ht="15.75">
      <c r="A162" s="393"/>
      <c r="B162" s="424"/>
      <c r="C162" s="390" t="s">
        <v>429</v>
      </c>
      <c r="D162" s="390"/>
      <c r="I162" s="425">
        <f>'A.RAPIDO'!H22</f>
        <v>0</v>
      </c>
      <c r="J162" s="408"/>
      <c r="K162" s="425">
        <v>1</v>
      </c>
      <c r="L162" s="425">
        <f t="shared" si="30"/>
        <v>0</v>
      </c>
      <c r="M162" s="468">
        <f>M146</f>
        <v>1.6666666666666665</v>
      </c>
      <c r="N162" s="467">
        <f t="shared" si="31"/>
        <v>0</v>
      </c>
      <c r="O162" s="468">
        <f>G20</f>
        <v>2.142857142857143</v>
      </c>
      <c r="P162" s="467">
        <f t="shared" si="32"/>
        <v>0</v>
      </c>
      <c r="Q162" s="468">
        <f>Q146</f>
        <v>3.92</v>
      </c>
      <c r="R162" s="468">
        <v>0.6666666666666666</v>
      </c>
      <c r="S162" s="468">
        <f t="shared" si="33"/>
        <v>0</v>
      </c>
      <c r="T162" s="610">
        <f>S162</f>
        <v>0</v>
      </c>
      <c r="U162" s="602"/>
      <c r="V162" s="602"/>
      <c r="W162" s="602"/>
      <c r="X162" s="609"/>
      <c r="Y162" s="602"/>
      <c r="Z162" s="603"/>
      <c r="AA162" s="76"/>
      <c r="AB162" s="76"/>
      <c r="AC162" s="76"/>
    </row>
    <row r="163" spans="1:29" ht="15.75">
      <c r="A163" s="393"/>
      <c r="B163" s="424"/>
      <c r="C163" s="590" t="s">
        <v>293</v>
      </c>
      <c r="D163" s="390"/>
      <c r="I163" s="425"/>
      <c r="J163" s="408">
        <f>'A.RAPIDO'!H24</f>
        <v>0</v>
      </c>
      <c r="K163" s="425">
        <v>4</v>
      </c>
      <c r="L163" s="425">
        <f t="shared" si="30"/>
        <v>0</v>
      </c>
      <c r="M163" s="468">
        <f>M112</f>
        <v>1.6666666666666665</v>
      </c>
      <c r="N163" s="467">
        <f t="shared" si="31"/>
        <v>0</v>
      </c>
      <c r="O163" s="468">
        <f>G21</f>
        <v>1.7857142857142858</v>
      </c>
      <c r="P163" s="467">
        <f t="shared" si="32"/>
        <v>0</v>
      </c>
      <c r="Q163" s="468">
        <f>Q112</f>
        <v>1.06</v>
      </c>
      <c r="R163" s="468">
        <v>0.6666666666666666</v>
      </c>
      <c r="S163" s="468">
        <f t="shared" si="33"/>
        <v>0</v>
      </c>
      <c r="T163" s="601"/>
      <c r="U163" s="602">
        <f>S163*1/6</f>
        <v>0</v>
      </c>
      <c r="V163" s="602"/>
      <c r="W163" s="602">
        <f>S163*5/6</f>
        <v>0</v>
      </c>
      <c r="X163" s="609"/>
      <c r="Y163" s="602"/>
      <c r="Z163" s="603"/>
      <c r="AA163" s="76"/>
      <c r="AB163" s="76"/>
      <c r="AC163" s="76"/>
    </row>
    <row r="164" spans="1:29" ht="15.75">
      <c r="A164" s="393">
        <v>3</v>
      </c>
      <c r="B164" s="424" t="s">
        <v>445</v>
      </c>
      <c r="C164" s="590"/>
      <c r="D164" s="390"/>
      <c r="I164" s="425"/>
      <c r="J164" s="408"/>
      <c r="K164" s="425"/>
      <c r="L164" s="425"/>
      <c r="M164" s="468"/>
      <c r="N164" s="467"/>
      <c r="O164" s="468"/>
      <c r="P164" s="467"/>
      <c r="Q164" s="468"/>
      <c r="R164" s="468"/>
      <c r="S164" s="468"/>
      <c r="T164" s="601"/>
      <c r="U164" s="602"/>
      <c r="V164" s="602"/>
      <c r="W164" s="602"/>
      <c r="X164" s="609"/>
      <c r="Y164" s="602"/>
      <c r="Z164" s="603"/>
      <c r="AA164" s="76"/>
      <c r="AB164" s="76"/>
      <c r="AC164" s="76"/>
    </row>
    <row r="165" spans="1:29" ht="15.75">
      <c r="A165" s="111"/>
      <c r="B165" s="424"/>
      <c r="C165" s="390" t="s">
        <v>429</v>
      </c>
      <c r="D165" s="390"/>
      <c r="I165" s="425"/>
      <c r="J165" s="408">
        <f>'A.RAPIDO'!H27+'A.RAPIDO'!H28+'A.RAPIDO'!H29+'A.RAPIDO'!H30</f>
        <v>0</v>
      </c>
      <c r="K165" s="425">
        <v>1</v>
      </c>
      <c r="L165" s="425">
        <f aca="true" t="shared" si="34" ref="L165:L170">K165*(I165+J165)</f>
        <v>0</v>
      </c>
      <c r="M165" s="425">
        <f>M162</f>
        <v>1.6666666666666665</v>
      </c>
      <c r="N165" s="467">
        <f>L165*M165</f>
        <v>0</v>
      </c>
      <c r="O165" s="468">
        <f>G21</f>
        <v>1.7857142857142858</v>
      </c>
      <c r="P165" s="467">
        <f>O165*L165</f>
        <v>0</v>
      </c>
      <c r="Q165" s="425">
        <f>Q162</f>
        <v>3.92</v>
      </c>
      <c r="R165" s="425">
        <v>0.6666666666666666</v>
      </c>
      <c r="S165" s="468">
        <f>L165*Q165*R165</f>
        <v>0</v>
      </c>
      <c r="T165" s="610">
        <f>S165</f>
        <v>0</v>
      </c>
      <c r="U165" s="602"/>
      <c r="V165" s="602"/>
      <c r="W165" s="602"/>
      <c r="X165" s="609"/>
      <c r="Y165" s="602"/>
      <c r="Z165" s="603"/>
      <c r="AA165" s="76"/>
      <c r="AB165" s="76"/>
      <c r="AC165" s="76"/>
    </row>
    <row r="166" spans="1:29" ht="15.75">
      <c r="A166" s="111"/>
      <c r="B166" s="424"/>
      <c r="C166" s="390" t="s">
        <v>309</v>
      </c>
      <c r="D166" s="390"/>
      <c r="I166" s="425"/>
      <c r="J166" s="408">
        <f>'A.RAPIDO'!H31+'A.RAPIDO'!H32+'A.RAPIDO'!H33+'A.RAPIDO'!H34</f>
        <v>0</v>
      </c>
      <c r="K166" s="468">
        <v>3</v>
      </c>
      <c r="L166" s="425">
        <f t="shared" si="34"/>
        <v>0</v>
      </c>
      <c r="M166" s="468">
        <f>M161</f>
        <v>2.5</v>
      </c>
      <c r="N166" s="467">
        <f>L166*M166</f>
        <v>0</v>
      </c>
      <c r="O166" s="468">
        <f>G19</f>
        <v>2.5</v>
      </c>
      <c r="P166" s="467">
        <f>O166*L166</f>
        <v>0</v>
      </c>
      <c r="Q166" s="468">
        <f>Q161</f>
        <v>0.37</v>
      </c>
      <c r="R166" s="468">
        <v>0.6666666666666666</v>
      </c>
      <c r="S166" s="468">
        <f>L166*Q166*R166</f>
        <v>0</v>
      </c>
      <c r="T166" s="601"/>
      <c r="U166" s="602"/>
      <c r="V166" s="602"/>
      <c r="W166" s="605">
        <f>S166</f>
        <v>0</v>
      </c>
      <c r="X166" s="609"/>
      <c r="Y166" s="602"/>
      <c r="Z166" s="603"/>
      <c r="AA166" s="76"/>
      <c r="AB166" s="76"/>
      <c r="AC166" s="76"/>
    </row>
    <row r="167" spans="1:29" ht="15.75">
      <c r="A167" s="111"/>
      <c r="B167" s="424"/>
      <c r="C167" s="590" t="s">
        <v>293</v>
      </c>
      <c r="D167" s="390"/>
      <c r="I167" s="425"/>
      <c r="J167" s="408">
        <f>'A.RAPIDO'!H28+'A.RAPIDO'!H32</f>
        <v>0</v>
      </c>
      <c r="K167" s="425">
        <v>4</v>
      </c>
      <c r="L167" s="425">
        <f t="shared" si="34"/>
        <v>0</v>
      </c>
      <c r="M167" s="425">
        <f>M163</f>
        <v>1.6666666666666665</v>
      </c>
      <c r="N167" s="467">
        <f>L167*M167</f>
        <v>0</v>
      </c>
      <c r="O167" s="425">
        <f>O163</f>
        <v>1.7857142857142858</v>
      </c>
      <c r="P167" s="467">
        <f>O167*L167</f>
        <v>0</v>
      </c>
      <c r="Q167" s="425">
        <f>Q163</f>
        <v>1.06</v>
      </c>
      <c r="R167" s="425">
        <v>0.6666666666666666</v>
      </c>
      <c r="S167" s="468">
        <f>L167*Q167*R167</f>
        <v>0</v>
      </c>
      <c r="T167" s="601"/>
      <c r="U167" s="602">
        <f>S167*1/6</f>
        <v>0</v>
      </c>
      <c r="V167" s="602"/>
      <c r="W167" s="602">
        <f>S167*5/6</f>
        <v>0</v>
      </c>
      <c r="X167" s="609"/>
      <c r="Y167" s="602"/>
      <c r="Z167" s="603"/>
      <c r="AA167" s="76"/>
      <c r="AB167" s="76"/>
      <c r="AC167" s="76"/>
    </row>
    <row r="168" spans="1:29" ht="15.75">
      <c r="A168" s="111"/>
      <c r="B168" s="424"/>
      <c r="C168" s="590" t="s">
        <v>290</v>
      </c>
      <c r="D168" s="390"/>
      <c r="I168" s="425"/>
      <c r="J168" s="408">
        <f>'A.RAPIDO'!H29+'A.RAPIDO'!H33</f>
        <v>0</v>
      </c>
      <c r="K168" s="425">
        <v>1</v>
      </c>
      <c r="L168" s="425">
        <f t="shared" si="34"/>
        <v>0</v>
      </c>
      <c r="M168" s="425" t="str">
        <f>M119</f>
        <v>0.5</v>
      </c>
      <c r="N168" s="467">
        <f>L168*M168</f>
        <v>0</v>
      </c>
      <c r="O168" s="468">
        <f>G26</f>
        <v>0.5</v>
      </c>
      <c r="P168" s="467">
        <f>O168*L168</f>
        <v>0</v>
      </c>
      <c r="Q168" s="425">
        <f>Q119</f>
        <v>0.37</v>
      </c>
      <c r="R168" s="425">
        <v>1</v>
      </c>
      <c r="S168" s="468">
        <f>L168*Q168*R168</f>
        <v>0</v>
      </c>
      <c r="T168" s="601"/>
      <c r="U168" s="602"/>
      <c r="V168" s="602"/>
      <c r="W168" s="604">
        <f>S168</f>
        <v>0</v>
      </c>
      <c r="X168" s="609"/>
      <c r="Y168" s="602"/>
      <c r="Z168" s="603"/>
      <c r="AA168" s="76"/>
      <c r="AB168" s="76"/>
      <c r="AC168" s="76"/>
    </row>
    <row r="169" spans="1:29" ht="15.75">
      <c r="A169" s="111"/>
      <c r="B169" s="424"/>
      <c r="C169" s="590" t="s">
        <v>446</v>
      </c>
      <c r="D169" s="390"/>
      <c r="I169" s="425"/>
      <c r="J169" s="408">
        <f>'A.RAPIDO'!H30+'A.RAPIDO'!H34</f>
        <v>0</v>
      </c>
      <c r="K169" s="425">
        <v>1</v>
      </c>
      <c r="L169" s="425">
        <f t="shared" si="34"/>
        <v>0</v>
      </c>
      <c r="M169" s="468">
        <f>C15</f>
        <v>3.333333333333333</v>
      </c>
      <c r="N169" s="467">
        <f>L169*M169</f>
        <v>0</v>
      </c>
      <c r="O169" s="468">
        <f>G17</f>
        <v>3.2142857142857144</v>
      </c>
      <c r="P169" s="467">
        <f>O169*L169</f>
        <v>0</v>
      </c>
      <c r="Q169" s="468">
        <f>K20</f>
        <v>0.37</v>
      </c>
      <c r="R169" s="468">
        <v>0.6522633744855967</v>
      </c>
      <c r="S169" s="468">
        <f>L169*Q169*R169</f>
        <v>0</v>
      </c>
      <c r="T169" s="601"/>
      <c r="U169" s="602"/>
      <c r="V169" s="602"/>
      <c r="W169" s="602"/>
      <c r="X169" s="609">
        <f>S169</f>
        <v>0</v>
      </c>
      <c r="Y169" s="602"/>
      <c r="Z169" s="603"/>
      <c r="AA169" s="76"/>
      <c r="AB169" s="76"/>
      <c r="AC169" s="76"/>
    </row>
    <row r="170" spans="2:29" ht="13.5" thickBot="1">
      <c r="B170" s="390"/>
      <c r="C170" s="390"/>
      <c r="D170" s="390"/>
      <c r="I170" s="425"/>
      <c r="J170" s="408"/>
      <c r="K170" s="425"/>
      <c r="L170" s="425">
        <f t="shared" si="34"/>
        <v>0</v>
      </c>
      <c r="M170" s="467"/>
      <c r="N170" s="467"/>
      <c r="O170" s="467"/>
      <c r="P170" s="467"/>
      <c r="Q170" s="467"/>
      <c r="R170" s="467"/>
      <c r="S170" s="468"/>
      <c r="T170" s="601"/>
      <c r="U170" s="602"/>
      <c r="V170" s="602"/>
      <c r="W170" s="602"/>
      <c r="X170" s="609"/>
      <c r="Y170" s="602"/>
      <c r="Z170" s="603"/>
      <c r="AA170" s="76"/>
      <c r="AB170" s="76"/>
      <c r="AC170" s="76"/>
    </row>
    <row r="171" spans="1:29" ht="13.5" thickBot="1">
      <c r="A171" s="389"/>
      <c r="B171" s="388" t="s">
        <v>16</v>
      </c>
      <c r="C171" s="398"/>
      <c r="D171" s="398"/>
      <c r="E171" s="398"/>
      <c r="F171" s="398"/>
      <c r="G171" s="398"/>
      <c r="H171" s="428"/>
      <c r="I171" s="381">
        <f>SUM(I172:I186)</f>
        <v>0</v>
      </c>
      <c r="J171" s="381">
        <f>SUM(J172:J186)</f>
        <v>0</v>
      </c>
      <c r="K171" s="381"/>
      <c r="L171" s="381">
        <f>SUM(L172:L191)</f>
        <v>0</v>
      </c>
      <c r="M171" s="436">
        <f>SUM(M172:M191)</f>
        <v>40.83333333333332</v>
      </c>
      <c r="N171" s="436">
        <f>SUM(N172:N191)</f>
        <v>0</v>
      </c>
      <c r="O171" s="436">
        <f>SUM(O172:O191)</f>
        <v>28.21428571428571</v>
      </c>
      <c r="P171" s="436">
        <f>SUM(P172:P191)</f>
        <v>0</v>
      </c>
      <c r="Q171" s="436"/>
      <c r="R171" s="436"/>
      <c r="S171" s="624">
        <f>SUM(S172:S191)</f>
        <v>0</v>
      </c>
      <c r="T171" s="601"/>
      <c r="U171" s="602"/>
      <c r="V171" s="602"/>
      <c r="W171" s="602"/>
      <c r="X171" s="609"/>
      <c r="Y171" s="602"/>
      <c r="Z171" s="603"/>
      <c r="AA171" s="76"/>
      <c r="AB171" s="76"/>
      <c r="AC171" s="76"/>
    </row>
    <row r="172" spans="1:29" ht="15.75">
      <c r="A172" s="393">
        <v>1</v>
      </c>
      <c r="B172" s="424" t="s">
        <v>447</v>
      </c>
      <c r="C172" s="390"/>
      <c r="D172" s="390"/>
      <c r="I172" s="425"/>
      <c r="J172" s="408"/>
      <c r="K172" s="425"/>
      <c r="L172" s="425">
        <f aca="true" t="shared" si="35" ref="L172:L180">K172*(I172+J172)</f>
        <v>0</v>
      </c>
      <c r="M172" s="467"/>
      <c r="N172" s="467"/>
      <c r="O172" s="467"/>
      <c r="P172" s="467"/>
      <c r="Q172" s="467"/>
      <c r="R172" s="468"/>
      <c r="S172" s="507"/>
      <c r="T172" s="607"/>
      <c r="U172" s="602"/>
      <c r="V172" s="602"/>
      <c r="W172" s="602"/>
      <c r="X172" s="609"/>
      <c r="Y172" s="602"/>
      <c r="Z172" s="603"/>
      <c r="AA172" s="76"/>
      <c r="AB172" s="76"/>
      <c r="AC172" s="76"/>
    </row>
    <row r="173" spans="1:29" ht="12.75">
      <c r="A173" s="393"/>
      <c r="B173" s="390"/>
      <c r="C173" s="390" t="s">
        <v>113</v>
      </c>
      <c r="D173" s="390"/>
      <c r="I173" s="425">
        <f>'A.PESADO'!H6</f>
        <v>0</v>
      </c>
      <c r="J173" s="408"/>
      <c r="K173" s="425">
        <v>1</v>
      </c>
      <c r="L173" s="425">
        <f t="shared" si="35"/>
        <v>0</v>
      </c>
      <c r="M173" s="468">
        <f>M85</f>
        <v>0.8333333333333333</v>
      </c>
      <c r="N173" s="467">
        <f aca="true" t="shared" si="36" ref="N173:N180">M173*L173</f>
        <v>0</v>
      </c>
      <c r="O173" s="468">
        <f>O85</f>
        <v>1.0714285714285714</v>
      </c>
      <c r="P173" s="467">
        <f aca="true" t="shared" si="37" ref="P173:P180">O173*L173</f>
        <v>0</v>
      </c>
      <c r="Q173" s="468">
        <f>Q85</f>
        <v>0.09</v>
      </c>
      <c r="R173" s="468">
        <v>0.6666666666666666</v>
      </c>
      <c r="S173" s="467">
        <f aca="true" t="shared" si="38" ref="S173:S180">L173*Q173*R173</f>
        <v>0</v>
      </c>
      <c r="T173" s="607"/>
      <c r="U173" s="602"/>
      <c r="V173" s="602"/>
      <c r="W173" s="602"/>
      <c r="X173" s="609">
        <f>S173</f>
        <v>0</v>
      </c>
      <c r="Y173" s="602"/>
      <c r="Z173" s="603"/>
      <c r="AA173" s="76"/>
      <c r="AB173" s="76"/>
      <c r="AC173" s="76"/>
    </row>
    <row r="174" spans="1:29" ht="12.75">
      <c r="A174" s="393"/>
      <c r="B174" s="390"/>
      <c r="C174" s="390" t="s">
        <v>274</v>
      </c>
      <c r="D174" s="390"/>
      <c r="I174" s="425">
        <f>'A.PESADO'!H7</f>
        <v>0</v>
      </c>
      <c r="J174" s="408"/>
      <c r="K174" s="425">
        <v>1</v>
      </c>
      <c r="L174" s="425">
        <f t="shared" si="35"/>
        <v>0</v>
      </c>
      <c r="M174" s="468">
        <f>M86</f>
        <v>0.8333333333333333</v>
      </c>
      <c r="N174" s="467">
        <f t="shared" si="36"/>
        <v>0</v>
      </c>
      <c r="O174" s="468">
        <f>O86</f>
        <v>1.0714285714285714</v>
      </c>
      <c r="P174" s="467">
        <f t="shared" si="37"/>
        <v>0</v>
      </c>
      <c r="Q174" s="468">
        <f>Q86</f>
        <v>1.39</v>
      </c>
      <c r="R174" s="468">
        <v>0.6666666666666666</v>
      </c>
      <c r="S174" s="467">
        <f t="shared" si="38"/>
        <v>0</v>
      </c>
      <c r="T174" s="607"/>
      <c r="U174" s="604">
        <f>S174</f>
        <v>0</v>
      </c>
      <c r="V174" s="602"/>
      <c r="W174" s="602"/>
      <c r="X174" s="609"/>
      <c r="Y174" s="602"/>
      <c r="Z174" s="603"/>
      <c r="AA174" s="76"/>
      <c r="AB174" s="76"/>
      <c r="AC174" s="76"/>
    </row>
    <row r="175" spans="1:29" ht="12.75">
      <c r="A175" s="393"/>
      <c r="B175" s="390"/>
      <c r="C175" s="390" t="s">
        <v>416</v>
      </c>
      <c r="D175" s="390"/>
      <c r="I175" s="425">
        <f>'A.PESADO'!H5+'A.PESADO'!H8</f>
        <v>0</v>
      </c>
      <c r="J175" s="408"/>
      <c r="K175" s="425">
        <v>1.5</v>
      </c>
      <c r="L175" s="425">
        <f t="shared" si="35"/>
        <v>0</v>
      </c>
      <c r="M175" s="468">
        <f>M87</f>
        <v>1.25</v>
      </c>
      <c r="N175" s="467">
        <f t="shared" si="36"/>
        <v>0</v>
      </c>
      <c r="O175" s="468">
        <f>O87</f>
        <v>1.4285714285714284</v>
      </c>
      <c r="P175" s="467">
        <f t="shared" si="37"/>
        <v>0</v>
      </c>
      <c r="Q175" s="468">
        <f>Q87</f>
        <v>0.09</v>
      </c>
      <c r="R175" s="468">
        <v>0.6666666666666666</v>
      </c>
      <c r="S175" s="467">
        <f t="shared" si="38"/>
        <v>0</v>
      </c>
      <c r="T175" s="607"/>
      <c r="U175" s="602"/>
      <c r="V175" s="602"/>
      <c r="W175" s="602"/>
      <c r="X175" s="609">
        <f>S175</f>
        <v>0</v>
      </c>
      <c r="Y175" s="602"/>
      <c r="Z175" s="603"/>
      <c r="AA175" s="76"/>
      <c r="AB175" s="76"/>
      <c r="AC175" s="76"/>
    </row>
    <row r="176" spans="1:29" ht="12.75">
      <c r="A176" s="393"/>
      <c r="B176" s="390"/>
      <c r="C176" s="390" t="s">
        <v>309</v>
      </c>
      <c r="D176" s="390"/>
      <c r="I176" s="425">
        <f>'A.PESADO'!H9</f>
        <v>0</v>
      </c>
      <c r="J176" s="408"/>
      <c r="K176" s="425">
        <v>3</v>
      </c>
      <c r="L176" s="425">
        <f t="shared" si="35"/>
        <v>0</v>
      </c>
      <c r="M176" s="468">
        <f>M99</f>
        <v>2.5</v>
      </c>
      <c r="N176" s="467">
        <f t="shared" si="36"/>
        <v>0</v>
      </c>
      <c r="O176" s="468">
        <f>O99</f>
        <v>0</v>
      </c>
      <c r="P176" s="467">
        <f t="shared" si="37"/>
        <v>0</v>
      </c>
      <c r="Q176" s="468">
        <f>Q99</f>
        <v>0.37</v>
      </c>
      <c r="R176" s="468">
        <v>0.6666666666666666</v>
      </c>
      <c r="S176" s="467">
        <f t="shared" si="38"/>
        <v>0</v>
      </c>
      <c r="T176" s="607"/>
      <c r="U176" s="602"/>
      <c r="V176" s="602"/>
      <c r="W176" s="604">
        <f>S176</f>
        <v>0</v>
      </c>
      <c r="X176" s="609"/>
      <c r="Y176" s="602"/>
      <c r="Z176" s="603"/>
      <c r="AA176" s="76"/>
      <c r="AB176" s="76"/>
      <c r="AC176" s="76"/>
    </row>
    <row r="177" spans="1:29" ht="12.75">
      <c r="A177" s="393"/>
      <c r="B177" s="390"/>
      <c r="C177" s="390" t="s">
        <v>429</v>
      </c>
      <c r="D177" s="390"/>
      <c r="I177" s="425">
        <f>'A.PESADO'!H10</f>
        <v>0</v>
      </c>
      <c r="J177" s="408"/>
      <c r="K177" s="425">
        <v>1</v>
      </c>
      <c r="L177" s="425">
        <f t="shared" si="35"/>
        <v>0</v>
      </c>
      <c r="M177" s="468">
        <f>M100</f>
        <v>1.6666666666666665</v>
      </c>
      <c r="N177" s="467">
        <f t="shared" si="36"/>
        <v>0</v>
      </c>
      <c r="O177" s="468">
        <f>O100</f>
        <v>0</v>
      </c>
      <c r="P177" s="467">
        <f t="shared" si="37"/>
        <v>0</v>
      </c>
      <c r="Q177" s="468">
        <f>Q100</f>
        <v>3.92</v>
      </c>
      <c r="R177" s="468">
        <v>0.6666666666666666</v>
      </c>
      <c r="S177" s="467">
        <f t="shared" si="38"/>
        <v>0</v>
      </c>
      <c r="T177" s="608">
        <f>S177</f>
        <v>0</v>
      </c>
      <c r="U177" s="602"/>
      <c r="V177" s="602"/>
      <c r="W177" s="602"/>
      <c r="X177" s="609"/>
      <c r="Y177" s="602"/>
      <c r="Z177" s="603"/>
      <c r="AA177" s="76"/>
      <c r="AB177" s="76"/>
      <c r="AC177" s="76"/>
    </row>
    <row r="178" spans="1:29" ht="12.75">
      <c r="A178" s="393"/>
      <c r="B178" s="390"/>
      <c r="C178" s="390" t="s">
        <v>428</v>
      </c>
      <c r="D178" s="390"/>
      <c r="I178" s="425">
        <f>'A.PESADO'!H11</f>
        <v>0</v>
      </c>
      <c r="J178" s="408"/>
      <c r="K178" s="425">
        <v>1</v>
      </c>
      <c r="L178" s="425">
        <f t="shared" si="35"/>
        <v>0</v>
      </c>
      <c r="M178" s="468">
        <f>M101</f>
        <v>2.5</v>
      </c>
      <c r="N178" s="467">
        <f t="shared" si="36"/>
        <v>0</v>
      </c>
      <c r="O178" s="468">
        <f>O101</f>
        <v>0</v>
      </c>
      <c r="P178" s="467">
        <f t="shared" si="37"/>
        <v>0</v>
      </c>
      <c r="Q178" s="468">
        <f>Q101</f>
        <v>1.39</v>
      </c>
      <c r="R178" s="468">
        <v>0.43209876543209874</v>
      </c>
      <c r="S178" s="467">
        <f t="shared" si="38"/>
        <v>0</v>
      </c>
      <c r="T178" s="607"/>
      <c r="U178" s="609">
        <f>S178</f>
        <v>0</v>
      </c>
      <c r="V178" s="602"/>
      <c r="W178" s="602"/>
      <c r="X178" s="580"/>
      <c r="Y178" s="580"/>
      <c r="Z178" s="603"/>
      <c r="AA178" s="76"/>
      <c r="AB178" s="76"/>
      <c r="AC178" s="76"/>
    </row>
    <row r="179" spans="1:29" ht="12.75">
      <c r="A179" s="393"/>
      <c r="B179" s="390"/>
      <c r="C179" s="390" t="s">
        <v>299</v>
      </c>
      <c r="D179" s="390"/>
      <c r="I179" s="425">
        <f>'A.PESADO'!H12</f>
        <v>0</v>
      </c>
      <c r="J179" s="425"/>
      <c r="K179" s="425">
        <v>1</v>
      </c>
      <c r="L179" s="425">
        <f t="shared" si="35"/>
        <v>0</v>
      </c>
      <c r="M179" s="468">
        <f>M102</f>
        <v>3.333333333333333</v>
      </c>
      <c r="N179" s="467">
        <f t="shared" si="36"/>
        <v>0</v>
      </c>
      <c r="O179" s="468">
        <f>O102</f>
        <v>0</v>
      </c>
      <c r="P179" s="467">
        <f t="shared" si="37"/>
        <v>0</v>
      </c>
      <c r="Q179" s="468">
        <f>Q102</f>
        <v>1.94</v>
      </c>
      <c r="R179" s="468">
        <f>R180</f>
        <v>0.6666666666666666</v>
      </c>
      <c r="S179" s="467">
        <f t="shared" si="38"/>
        <v>0</v>
      </c>
      <c r="T179" s="607"/>
      <c r="U179" s="602"/>
      <c r="V179" s="604">
        <f>S179</f>
        <v>0</v>
      </c>
      <c r="W179" s="602"/>
      <c r="X179" s="609"/>
      <c r="Y179" s="604"/>
      <c r="Z179" s="603"/>
      <c r="AA179" s="76"/>
      <c r="AB179" s="76"/>
      <c r="AC179" s="76"/>
    </row>
    <row r="180" spans="1:29" ht="12.75">
      <c r="A180" s="393"/>
      <c r="B180" s="390"/>
      <c r="C180" s="390" t="s">
        <v>112</v>
      </c>
      <c r="D180" s="390"/>
      <c r="I180" s="425">
        <f>'A.PESADO'!H13</f>
        <v>0</v>
      </c>
      <c r="J180" s="425"/>
      <c r="K180" s="425">
        <v>1</v>
      </c>
      <c r="L180" s="425">
        <f t="shared" si="35"/>
        <v>0</v>
      </c>
      <c r="M180" s="468">
        <f>M103</f>
        <v>3.333333333333333</v>
      </c>
      <c r="N180" s="467">
        <f t="shared" si="36"/>
        <v>0</v>
      </c>
      <c r="O180" s="468">
        <f>O103</f>
        <v>0</v>
      </c>
      <c r="P180" s="467">
        <f t="shared" si="37"/>
        <v>0</v>
      </c>
      <c r="Q180" s="468">
        <f>Q103</f>
        <v>2.5</v>
      </c>
      <c r="R180" s="468">
        <v>0.6666666666666666</v>
      </c>
      <c r="S180" s="467">
        <f t="shared" si="38"/>
        <v>0</v>
      </c>
      <c r="T180" s="607"/>
      <c r="U180" s="604">
        <f>S180</f>
        <v>0</v>
      </c>
      <c r="V180" s="602"/>
      <c r="W180" s="602"/>
      <c r="X180" s="609"/>
      <c r="Y180" s="602"/>
      <c r="Z180" s="603"/>
      <c r="AA180" s="76"/>
      <c r="AB180" s="76"/>
      <c r="AC180" s="76"/>
    </row>
    <row r="181" spans="1:29" ht="15.75">
      <c r="A181" s="393">
        <v>2</v>
      </c>
      <c r="B181" s="424" t="s">
        <v>421</v>
      </c>
      <c r="D181" s="390"/>
      <c r="I181" s="425"/>
      <c r="J181" s="408"/>
      <c r="K181" s="425"/>
      <c r="L181" s="425"/>
      <c r="M181" s="467"/>
      <c r="N181" s="467"/>
      <c r="O181" s="467"/>
      <c r="P181" s="467"/>
      <c r="Q181" s="467"/>
      <c r="R181" s="468"/>
      <c r="S181" s="467"/>
      <c r="T181" s="607"/>
      <c r="U181" s="602"/>
      <c r="V181" s="602"/>
      <c r="W181" s="602"/>
      <c r="X181" s="609"/>
      <c r="Y181" s="602"/>
      <c r="Z181" s="603"/>
      <c r="AA181" s="76"/>
      <c r="AB181" s="76"/>
      <c r="AC181" s="76"/>
    </row>
    <row r="182" spans="1:29" ht="12.75">
      <c r="A182" s="393"/>
      <c r="B182" s="390"/>
      <c r="C182" s="390" t="s">
        <v>123</v>
      </c>
      <c r="D182" s="390"/>
      <c r="I182" s="425"/>
      <c r="J182" s="408">
        <f>'A.PESADO'!H28+'A.PESADO'!H30+'A.PESADO'!H31</f>
        <v>0</v>
      </c>
      <c r="K182" s="425">
        <v>2</v>
      </c>
      <c r="L182" s="425">
        <f aca="true" t="shared" si="39" ref="L182:L191">K182*(I182+J182)</f>
        <v>0</v>
      </c>
      <c r="M182" s="467">
        <f>C15</f>
        <v>3.333333333333333</v>
      </c>
      <c r="N182" s="467">
        <f aca="true" t="shared" si="40" ref="N182:N191">M182*L182</f>
        <v>0</v>
      </c>
      <c r="O182" s="467">
        <f>G17</f>
        <v>3.2142857142857144</v>
      </c>
      <c r="P182" s="467">
        <f aca="true" t="shared" si="41" ref="P182:P191">O182*L182</f>
        <v>0</v>
      </c>
      <c r="Q182" s="467">
        <f>Q116</f>
        <v>1.39</v>
      </c>
      <c r="R182" s="468">
        <v>0.6666666666666666</v>
      </c>
      <c r="S182" s="467">
        <f aca="true" t="shared" si="42" ref="S182:S191">L182*Q182*R182</f>
        <v>0</v>
      </c>
      <c r="T182" s="607"/>
      <c r="U182" s="602"/>
      <c r="V182" s="602"/>
      <c r="W182" s="609">
        <f>S182</f>
        <v>0</v>
      </c>
      <c r="X182" s="580"/>
      <c r="Y182" s="602"/>
      <c r="Z182" s="603"/>
      <c r="AA182" s="76"/>
      <c r="AB182" s="76"/>
      <c r="AC182" s="76"/>
    </row>
    <row r="183" spans="1:29" ht="12.75">
      <c r="A183" s="393"/>
      <c r="B183" s="390"/>
      <c r="C183" s="390" t="s">
        <v>309</v>
      </c>
      <c r="D183" s="390"/>
      <c r="I183" s="425"/>
      <c r="J183" s="408">
        <f>(('A.PESADO'!H30)*2)+(('A.PESADO'!H32)*2)</f>
        <v>0</v>
      </c>
      <c r="K183" s="425">
        <v>3</v>
      </c>
      <c r="L183" s="425">
        <f t="shared" si="39"/>
        <v>0</v>
      </c>
      <c r="M183" s="467">
        <f>C16</f>
        <v>2.5</v>
      </c>
      <c r="N183" s="467">
        <f t="shared" si="40"/>
        <v>0</v>
      </c>
      <c r="O183" s="467">
        <f>G19</f>
        <v>2.5</v>
      </c>
      <c r="P183" s="467">
        <f t="shared" si="41"/>
        <v>0</v>
      </c>
      <c r="Q183" s="467">
        <f>Q176</f>
        <v>0.37</v>
      </c>
      <c r="R183" s="468">
        <v>0.6666666666666666</v>
      </c>
      <c r="S183" s="467">
        <f t="shared" si="42"/>
        <v>0</v>
      </c>
      <c r="T183" s="607"/>
      <c r="U183" s="602"/>
      <c r="V183" s="602"/>
      <c r="W183" s="609">
        <f>S183</f>
        <v>0</v>
      </c>
      <c r="X183" s="580"/>
      <c r="Y183" s="602"/>
      <c r="Z183" s="603"/>
      <c r="AA183" s="76"/>
      <c r="AB183" s="76"/>
      <c r="AC183" s="76"/>
    </row>
    <row r="184" spans="1:29" ht="12.75">
      <c r="A184" s="393"/>
      <c r="B184" s="390"/>
      <c r="C184" s="390" t="s">
        <v>296</v>
      </c>
      <c r="D184" s="390"/>
      <c r="I184" s="425"/>
      <c r="J184" s="408">
        <f>'A.PESADO'!H18</f>
        <v>0</v>
      </c>
      <c r="K184" s="425">
        <v>3</v>
      </c>
      <c r="L184" s="425">
        <f t="shared" si="39"/>
        <v>0</v>
      </c>
      <c r="M184" s="425">
        <f>M183</f>
        <v>2.5</v>
      </c>
      <c r="N184" s="467">
        <f t="shared" si="40"/>
        <v>0</v>
      </c>
      <c r="O184" s="425">
        <f>O183</f>
        <v>2.5</v>
      </c>
      <c r="P184" s="467">
        <f t="shared" si="41"/>
        <v>0</v>
      </c>
      <c r="Q184" s="425">
        <f>Q183</f>
        <v>0.37</v>
      </c>
      <c r="R184" s="468">
        <v>0.8888888888888888</v>
      </c>
      <c r="S184" s="467">
        <f t="shared" si="42"/>
        <v>0</v>
      </c>
      <c r="T184" s="607"/>
      <c r="U184" s="602"/>
      <c r="V184" s="602"/>
      <c r="W184" s="609">
        <f>S184</f>
        <v>0</v>
      </c>
      <c r="X184" s="580"/>
      <c r="Y184" s="602"/>
      <c r="Z184" s="603"/>
      <c r="AA184" s="76"/>
      <c r="AB184" s="76"/>
      <c r="AC184" s="76"/>
    </row>
    <row r="185" spans="1:29" ht="12.75">
      <c r="A185" s="393"/>
      <c r="B185" s="390"/>
      <c r="C185" s="390" t="s">
        <v>448</v>
      </c>
      <c r="D185" s="390"/>
      <c r="I185" s="425"/>
      <c r="J185" s="408">
        <f>('A.PESADO'!H31*2)+('A.PESADO'!H33*2)</f>
        <v>0</v>
      </c>
      <c r="K185" s="425">
        <v>1</v>
      </c>
      <c r="L185" s="425">
        <f t="shared" si="39"/>
        <v>0</v>
      </c>
      <c r="M185" s="425">
        <f>M186</f>
        <v>3.333333333333333</v>
      </c>
      <c r="N185" s="467">
        <f t="shared" si="40"/>
        <v>0</v>
      </c>
      <c r="O185" s="425">
        <f>O186</f>
        <v>3.2142857142857144</v>
      </c>
      <c r="P185" s="467">
        <f t="shared" si="41"/>
        <v>0</v>
      </c>
      <c r="Q185" s="468">
        <f>Q180</f>
        <v>2.5</v>
      </c>
      <c r="R185" s="468">
        <v>0.6666666666666666</v>
      </c>
      <c r="S185" s="467">
        <f t="shared" si="42"/>
        <v>0</v>
      </c>
      <c r="T185" s="607"/>
      <c r="U185" s="602">
        <f>S185</f>
        <v>0</v>
      </c>
      <c r="V185" s="602"/>
      <c r="W185" s="609"/>
      <c r="X185" s="580"/>
      <c r="Y185" s="602"/>
      <c r="Z185" s="603"/>
      <c r="AA185" s="76"/>
      <c r="AB185" s="76"/>
      <c r="AC185" s="76"/>
    </row>
    <row r="186" spans="1:29" ht="12.75">
      <c r="A186" s="393"/>
      <c r="B186" s="390"/>
      <c r="C186" s="390" t="s">
        <v>125</v>
      </c>
      <c r="D186" s="390"/>
      <c r="I186" s="425"/>
      <c r="J186" s="408">
        <f>(2*('A.PESADO'!H18))+'A.PESADO'!H29+'A.PESADO'!H32+'A.PESADO'!H33</f>
        <v>0</v>
      </c>
      <c r="K186" s="425">
        <v>1</v>
      </c>
      <c r="L186" s="425">
        <f t="shared" si="39"/>
        <v>0</v>
      </c>
      <c r="M186" s="467">
        <f>C15</f>
        <v>3.333333333333333</v>
      </c>
      <c r="N186" s="467">
        <f t="shared" si="40"/>
        <v>0</v>
      </c>
      <c r="O186" s="467">
        <f>G17</f>
        <v>3.2142857142857144</v>
      </c>
      <c r="P186" s="467">
        <f t="shared" si="41"/>
        <v>0</v>
      </c>
      <c r="Q186" s="467">
        <f>Q180</f>
        <v>2.5</v>
      </c>
      <c r="R186" s="468">
        <v>0.8888888888888888</v>
      </c>
      <c r="S186" s="467">
        <f t="shared" si="42"/>
        <v>0</v>
      </c>
      <c r="T186" s="607"/>
      <c r="U186" s="609">
        <f>S186</f>
        <v>0</v>
      </c>
      <c r="V186" s="602"/>
      <c r="W186" s="602"/>
      <c r="X186" s="580"/>
      <c r="Y186" s="602"/>
      <c r="Z186" s="603"/>
      <c r="AA186" s="76"/>
      <c r="AB186" s="76"/>
      <c r="AC186" s="76"/>
    </row>
    <row r="187" spans="1:29" ht="12.75">
      <c r="A187" s="393"/>
      <c r="B187" s="390"/>
      <c r="C187" s="390" t="s">
        <v>449</v>
      </c>
      <c r="D187" s="390"/>
      <c r="I187" s="425"/>
      <c r="J187" s="408">
        <f>'A.PESADO'!H23</f>
        <v>0</v>
      </c>
      <c r="K187" s="425">
        <v>4</v>
      </c>
      <c r="L187" s="425">
        <f t="shared" si="39"/>
        <v>0</v>
      </c>
      <c r="M187" s="425">
        <f>M167</f>
        <v>1.6666666666666665</v>
      </c>
      <c r="N187" s="467">
        <f t="shared" si="40"/>
        <v>0</v>
      </c>
      <c r="O187" s="425">
        <f>O167</f>
        <v>1.7857142857142858</v>
      </c>
      <c r="P187" s="467">
        <f t="shared" si="41"/>
        <v>0</v>
      </c>
      <c r="Q187" s="425">
        <f>Q167</f>
        <v>1.06</v>
      </c>
      <c r="R187" s="468">
        <v>0.8888888888888888</v>
      </c>
      <c r="S187" s="467">
        <f t="shared" si="42"/>
        <v>0</v>
      </c>
      <c r="T187" s="607"/>
      <c r="U187" s="609">
        <f>S187*1/6</f>
        <v>0</v>
      </c>
      <c r="V187" s="602"/>
      <c r="W187" s="602">
        <f>S187*5/6</f>
        <v>0</v>
      </c>
      <c r="X187" s="580"/>
      <c r="Y187" s="602"/>
      <c r="Z187" s="603"/>
      <c r="AA187" s="76"/>
      <c r="AB187" s="76"/>
      <c r="AC187" s="76"/>
    </row>
    <row r="188" spans="1:29" ht="12.75">
      <c r="A188" s="393"/>
      <c r="B188" s="390"/>
      <c r="C188" s="390" t="s">
        <v>295</v>
      </c>
      <c r="D188" s="390"/>
      <c r="I188" s="425"/>
      <c r="J188" s="408">
        <f>'A.PESADO'!H23</f>
        <v>0</v>
      </c>
      <c r="K188" s="425">
        <v>1</v>
      </c>
      <c r="L188" s="425">
        <f t="shared" si="39"/>
        <v>0</v>
      </c>
      <c r="M188" s="425">
        <f>M165</f>
        <v>1.6666666666666665</v>
      </c>
      <c r="N188" s="467">
        <f t="shared" si="40"/>
        <v>0</v>
      </c>
      <c r="O188" s="425">
        <f>O165</f>
        <v>1.7857142857142858</v>
      </c>
      <c r="P188" s="467">
        <f t="shared" si="41"/>
        <v>0</v>
      </c>
      <c r="Q188" s="425">
        <f>Q165</f>
        <v>3.92</v>
      </c>
      <c r="R188" s="425">
        <v>0.6666666666666666</v>
      </c>
      <c r="S188" s="467">
        <f t="shared" si="42"/>
        <v>0</v>
      </c>
      <c r="T188" s="608">
        <f>S188</f>
        <v>0</v>
      </c>
      <c r="U188" s="609"/>
      <c r="V188" s="602"/>
      <c r="W188" s="602"/>
      <c r="X188" s="580"/>
      <c r="Y188" s="602"/>
      <c r="Z188" s="603"/>
      <c r="AA188" s="76"/>
      <c r="AB188" s="76"/>
      <c r="AC188" s="76"/>
    </row>
    <row r="189" spans="1:29" ht="12.75">
      <c r="A189" s="393"/>
      <c r="B189" s="390"/>
      <c r="C189" s="390" t="s">
        <v>450</v>
      </c>
      <c r="D189" s="390"/>
      <c r="I189" s="425"/>
      <c r="J189" s="408">
        <f>'A.PESADO'!H23*2</f>
        <v>0</v>
      </c>
      <c r="K189" s="425">
        <v>4.5</v>
      </c>
      <c r="L189" s="425">
        <f t="shared" si="39"/>
        <v>0</v>
      </c>
      <c r="M189" s="467">
        <f>C19</f>
        <v>1.25</v>
      </c>
      <c r="N189" s="467">
        <f t="shared" si="40"/>
        <v>0</v>
      </c>
      <c r="O189" s="467">
        <f>G22</f>
        <v>1.4285714285714284</v>
      </c>
      <c r="P189" s="467">
        <f t="shared" si="41"/>
        <v>0</v>
      </c>
      <c r="Q189" s="467">
        <f>Q173</f>
        <v>0.09</v>
      </c>
      <c r="R189" s="468">
        <v>0.8888888888888888</v>
      </c>
      <c r="S189" s="467">
        <f t="shared" si="42"/>
        <v>0</v>
      </c>
      <c r="T189" s="607"/>
      <c r="U189" s="609"/>
      <c r="V189" s="602"/>
      <c r="W189" s="602"/>
      <c r="X189" s="614">
        <f>S189</f>
        <v>0</v>
      </c>
      <c r="Y189" s="602"/>
      <c r="Z189" s="603"/>
      <c r="AA189" s="76"/>
      <c r="AB189" s="76"/>
      <c r="AC189" s="76"/>
    </row>
    <row r="190" spans="1:29" ht="12.75">
      <c r="A190" s="393"/>
      <c r="B190" s="390"/>
      <c r="C190" s="390" t="s">
        <v>451</v>
      </c>
      <c r="D190" s="390"/>
      <c r="I190" s="425"/>
      <c r="J190" s="408">
        <f>'A.PESADO'!H38</f>
        <v>0</v>
      </c>
      <c r="K190" s="425">
        <v>1</v>
      </c>
      <c r="L190" s="425">
        <f t="shared" si="39"/>
        <v>0</v>
      </c>
      <c r="M190" s="467">
        <f>M185</f>
        <v>3.333333333333333</v>
      </c>
      <c r="N190" s="467">
        <f t="shared" si="40"/>
        <v>0</v>
      </c>
      <c r="O190" s="467">
        <f>O185</f>
        <v>3.2142857142857144</v>
      </c>
      <c r="P190" s="467">
        <f t="shared" si="41"/>
        <v>0</v>
      </c>
      <c r="Q190" s="467">
        <f>R19</f>
        <v>0.65</v>
      </c>
      <c r="R190" s="468">
        <v>0.6111111111111112</v>
      </c>
      <c r="S190" s="467">
        <f t="shared" si="42"/>
        <v>0</v>
      </c>
      <c r="T190" s="607"/>
      <c r="U190" s="609"/>
      <c r="V190" s="602"/>
      <c r="W190" s="604">
        <f>S190</f>
        <v>0</v>
      </c>
      <c r="X190" s="580"/>
      <c r="Y190" s="602"/>
      <c r="Z190" s="603"/>
      <c r="AA190" s="76"/>
      <c r="AB190" s="76"/>
      <c r="AC190" s="76"/>
    </row>
    <row r="191" spans="1:29" ht="12.75">
      <c r="A191" s="393"/>
      <c r="B191" s="390"/>
      <c r="C191" s="390" t="s">
        <v>452</v>
      </c>
      <c r="D191" s="390"/>
      <c r="I191" s="425"/>
      <c r="J191" s="408">
        <f>'A.PESADO'!H43</f>
        <v>0</v>
      </c>
      <c r="K191" s="425">
        <v>1</v>
      </c>
      <c r="L191" s="425">
        <f t="shared" si="39"/>
        <v>0</v>
      </c>
      <c r="M191" s="467">
        <f>M187</f>
        <v>1.6666666666666665</v>
      </c>
      <c r="N191" s="467">
        <f t="shared" si="40"/>
        <v>0</v>
      </c>
      <c r="O191" s="467">
        <f>O187</f>
        <v>1.7857142857142858</v>
      </c>
      <c r="P191" s="467">
        <f t="shared" si="41"/>
        <v>0</v>
      </c>
      <c r="Q191" s="467">
        <f>R14</f>
        <v>3.24</v>
      </c>
      <c r="R191" s="468">
        <v>0.6111111111111112</v>
      </c>
      <c r="S191" s="467">
        <f t="shared" si="42"/>
        <v>0</v>
      </c>
      <c r="T191" s="607"/>
      <c r="U191" s="609">
        <f>S191</f>
        <v>0</v>
      </c>
      <c r="V191" s="602"/>
      <c r="W191" s="602"/>
      <c r="X191" s="580"/>
      <c r="Y191" s="602"/>
      <c r="Z191" s="603"/>
      <c r="AA191" s="76"/>
      <c r="AB191" s="76"/>
      <c r="AC191" s="76"/>
    </row>
    <row r="192" spans="1:29" ht="13.5" thickBot="1">
      <c r="A192" s="393"/>
      <c r="B192" s="390"/>
      <c r="C192" s="390"/>
      <c r="D192" s="390"/>
      <c r="I192" s="425"/>
      <c r="J192" s="408"/>
      <c r="K192" s="425"/>
      <c r="L192" s="425"/>
      <c r="M192" s="467"/>
      <c r="N192" s="467"/>
      <c r="O192" s="467"/>
      <c r="P192" s="467"/>
      <c r="Q192" s="467"/>
      <c r="R192" s="468"/>
      <c r="S192" s="456"/>
      <c r="T192" s="615"/>
      <c r="U192" s="616"/>
      <c r="V192" s="617"/>
      <c r="W192" s="617"/>
      <c r="Y192" s="602"/>
      <c r="Z192" s="603"/>
      <c r="AA192" s="76"/>
      <c r="AB192" s="76"/>
      <c r="AC192" s="76"/>
    </row>
    <row r="193" spans="1:29" ht="13.5" thickBot="1">
      <c r="A193" s="389"/>
      <c r="B193" s="388" t="s">
        <v>18</v>
      </c>
      <c r="C193" s="398"/>
      <c r="D193" s="398"/>
      <c r="E193" s="398"/>
      <c r="F193" s="398"/>
      <c r="G193" s="398"/>
      <c r="H193" s="428"/>
      <c r="I193" s="381">
        <f>SUM(I194:I199)</f>
        <v>0</v>
      </c>
      <c r="J193" s="381">
        <f>SUM(J194:J199)</f>
        <v>0</v>
      </c>
      <c r="K193" s="381"/>
      <c r="L193" s="381">
        <f>SUM(L194:L199)</f>
        <v>0</v>
      </c>
      <c r="M193" s="436">
        <f>SUM(M194:M199)</f>
        <v>0</v>
      </c>
      <c r="N193" s="436">
        <f>SUM(N194:N199)</f>
        <v>0</v>
      </c>
      <c r="O193" s="436">
        <f>SUM(O194:O199)</f>
        <v>0</v>
      </c>
      <c r="P193" s="436">
        <f>SUM(P194:P199)</f>
        <v>0</v>
      </c>
      <c r="Q193" s="436"/>
      <c r="R193" s="436"/>
      <c r="S193" s="466">
        <f>SUM(S194:S199)</f>
        <v>0</v>
      </c>
      <c r="T193" s="601"/>
      <c r="U193" s="602"/>
      <c r="V193" s="602"/>
      <c r="W193" s="602"/>
      <c r="X193" s="609"/>
      <c r="Y193" s="602"/>
      <c r="Z193" s="603"/>
      <c r="AA193" s="76"/>
      <c r="AB193" s="76"/>
      <c r="AC193" s="76"/>
    </row>
    <row r="194" spans="1:29" ht="12.75">
      <c r="A194" s="393">
        <v>1</v>
      </c>
      <c r="B194" s="111"/>
      <c r="C194" s="390"/>
      <c r="D194" s="390"/>
      <c r="H194" s="415"/>
      <c r="I194" s="425"/>
      <c r="J194" s="408"/>
      <c r="K194" s="425"/>
      <c r="L194" s="425">
        <f aca="true" t="shared" si="43" ref="L194:L200">K194*(I194+J194)</f>
        <v>0</v>
      </c>
      <c r="M194" s="467"/>
      <c r="N194" s="467"/>
      <c r="O194" s="467"/>
      <c r="P194" s="467"/>
      <c r="Q194" s="467"/>
      <c r="R194" s="467"/>
      <c r="S194" s="468"/>
      <c r="T194" s="601"/>
      <c r="U194" s="602"/>
      <c r="V194" s="602"/>
      <c r="W194" s="602"/>
      <c r="X194" s="609"/>
      <c r="Y194" s="602"/>
      <c r="Z194" s="603"/>
      <c r="AA194" s="76"/>
      <c r="AB194" s="76"/>
      <c r="AC194" s="76"/>
    </row>
    <row r="195" spans="1:29" ht="12.75">
      <c r="A195" s="393">
        <v>2</v>
      </c>
      <c r="B195" s="111"/>
      <c r="C195" s="390"/>
      <c r="D195" s="390"/>
      <c r="H195" s="415"/>
      <c r="I195" s="425"/>
      <c r="J195" s="408"/>
      <c r="K195" s="425"/>
      <c r="L195" s="425">
        <f t="shared" si="43"/>
        <v>0</v>
      </c>
      <c r="M195" s="467"/>
      <c r="N195" s="467"/>
      <c r="O195" s="467"/>
      <c r="P195" s="467"/>
      <c r="Q195" s="467"/>
      <c r="R195" s="467"/>
      <c r="S195" s="468"/>
      <c r="T195" s="601"/>
      <c r="U195" s="602"/>
      <c r="V195" s="602"/>
      <c r="W195" s="602"/>
      <c r="X195" s="609"/>
      <c r="Y195" s="602"/>
      <c r="Z195" s="603"/>
      <c r="AA195" s="76"/>
      <c r="AB195" s="76"/>
      <c r="AC195" s="76"/>
    </row>
    <row r="196" spans="1:29" ht="12.75">
      <c r="A196" s="393">
        <v>3</v>
      </c>
      <c r="B196" s="111"/>
      <c r="C196" s="390"/>
      <c r="D196" s="390"/>
      <c r="I196" s="425"/>
      <c r="J196" s="408"/>
      <c r="K196" s="425"/>
      <c r="L196" s="425">
        <f t="shared" si="43"/>
        <v>0</v>
      </c>
      <c r="M196" s="467"/>
      <c r="N196" s="467"/>
      <c r="O196" s="467"/>
      <c r="P196" s="467"/>
      <c r="Q196" s="467"/>
      <c r="R196" s="467"/>
      <c r="S196" s="468"/>
      <c r="T196" s="601"/>
      <c r="U196" s="602"/>
      <c r="V196" s="602"/>
      <c r="W196" s="602"/>
      <c r="X196" s="609"/>
      <c r="Y196" s="602"/>
      <c r="Z196" s="603"/>
      <c r="AA196" s="76"/>
      <c r="AB196" s="76"/>
      <c r="AC196" s="76"/>
    </row>
    <row r="197" spans="1:29" ht="12.75">
      <c r="A197" s="393">
        <v>4</v>
      </c>
      <c r="B197" s="111"/>
      <c r="C197" s="390"/>
      <c r="D197" s="390"/>
      <c r="I197" s="425"/>
      <c r="J197" s="408"/>
      <c r="K197" s="425"/>
      <c r="L197" s="425">
        <f t="shared" si="43"/>
        <v>0</v>
      </c>
      <c r="M197" s="467"/>
      <c r="N197" s="467"/>
      <c r="O197" s="467"/>
      <c r="P197" s="467"/>
      <c r="Q197" s="467"/>
      <c r="R197" s="467"/>
      <c r="S197" s="468"/>
      <c r="T197" s="601"/>
      <c r="U197" s="602"/>
      <c r="V197" s="602"/>
      <c r="W197" s="602"/>
      <c r="X197" s="609"/>
      <c r="Y197" s="602"/>
      <c r="Z197" s="603"/>
      <c r="AA197" s="76"/>
      <c r="AB197" s="76"/>
      <c r="AC197" s="76"/>
    </row>
    <row r="198" spans="1:29" ht="12.75">
      <c r="A198" s="393">
        <v>5</v>
      </c>
      <c r="B198" s="111"/>
      <c r="C198" s="390"/>
      <c r="D198" s="390"/>
      <c r="I198" s="425"/>
      <c r="J198" s="408"/>
      <c r="K198" s="425"/>
      <c r="L198" s="425">
        <f t="shared" si="43"/>
        <v>0</v>
      </c>
      <c r="M198" s="467"/>
      <c r="N198" s="467"/>
      <c r="O198" s="467"/>
      <c r="P198" s="467"/>
      <c r="Q198" s="467"/>
      <c r="R198" s="467"/>
      <c r="S198" s="468"/>
      <c r="T198" s="601"/>
      <c r="U198" s="602"/>
      <c r="V198" s="602"/>
      <c r="W198" s="602"/>
      <c r="X198" s="609"/>
      <c r="Y198" s="602"/>
      <c r="Z198" s="603"/>
      <c r="AA198" s="76"/>
      <c r="AB198" s="76"/>
      <c r="AC198" s="76"/>
    </row>
    <row r="199" spans="1:29" ht="12.75">
      <c r="A199" s="393">
        <v>6</v>
      </c>
      <c r="B199" s="111"/>
      <c r="C199" s="390"/>
      <c r="D199" s="390"/>
      <c r="I199" s="425"/>
      <c r="J199" s="408"/>
      <c r="K199" s="425"/>
      <c r="L199" s="425">
        <f t="shared" si="43"/>
        <v>0</v>
      </c>
      <c r="M199" s="467"/>
      <c r="N199" s="467"/>
      <c r="O199" s="467"/>
      <c r="P199" s="467"/>
      <c r="Q199" s="467"/>
      <c r="R199" s="467"/>
      <c r="S199" s="468"/>
      <c r="T199" s="601"/>
      <c r="U199" s="602"/>
      <c r="V199" s="602"/>
      <c r="W199" s="602"/>
      <c r="X199" s="609"/>
      <c r="Y199" s="602"/>
      <c r="Z199" s="603"/>
      <c r="AA199" s="76"/>
      <c r="AB199" s="76"/>
      <c r="AC199" s="76"/>
    </row>
    <row r="200" spans="1:29" ht="13.5" thickBot="1">
      <c r="A200" s="394"/>
      <c r="B200" s="111"/>
      <c r="C200" s="390"/>
      <c r="D200" s="390"/>
      <c r="I200" s="425"/>
      <c r="J200" s="408"/>
      <c r="K200" s="425"/>
      <c r="L200" s="425">
        <f t="shared" si="43"/>
        <v>0</v>
      </c>
      <c r="M200" s="467"/>
      <c r="N200" s="467"/>
      <c r="O200" s="467"/>
      <c r="P200" s="467"/>
      <c r="Q200" s="467"/>
      <c r="R200" s="467"/>
      <c r="S200" s="468"/>
      <c r="T200" s="601"/>
      <c r="U200" s="602"/>
      <c r="V200" s="602"/>
      <c r="W200" s="602"/>
      <c r="X200" s="609"/>
      <c r="Y200" s="602"/>
      <c r="Z200" s="603"/>
      <c r="AA200" s="76"/>
      <c r="AB200" s="76"/>
      <c r="AC200" s="76"/>
    </row>
    <row r="201" spans="1:29" ht="13.5" thickBot="1">
      <c r="A201" s="389"/>
      <c r="B201" s="388" t="s">
        <v>1</v>
      </c>
      <c r="C201" s="398"/>
      <c r="D201" s="398"/>
      <c r="E201" s="398"/>
      <c r="F201" s="398"/>
      <c r="G201" s="398"/>
      <c r="H201" s="428"/>
      <c r="I201" s="381">
        <f>I58+I91+I110+I151+I171+I193</f>
        <v>0</v>
      </c>
      <c r="J201" s="381">
        <f>J58+J91+J110+J151+J171+J193</f>
        <v>0</v>
      </c>
      <c r="K201" s="381"/>
      <c r="L201" s="434">
        <f>L58+L91+L110+L151+L171+L193</f>
        <v>0</v>
      </c>
      <c r="M201" s="474">
        <f>M58+M91+M110+M151+M171+M193</f>
        <v>186.66666666666663</v>
      </c>
      <c r="N201" s="474">
        <f>N58+N91+N110+N151+N171+N193</f>
        <v>0</v>
      </c>
      <c r="O201" s="474">
        <f>O58+O91+O110+O151+O171+O193</f>
        <v>147.64285714285714</v>
      </c>
      <c r="P201" s="474">
        <f>P58+P91+P110+P151+P171+P193</f>
        <v>0</v>
      </c>
      <c r="Q201" s="474"/>
      <c r="R201" s="474"/>
      <c r="S201" s="446">
        <f>S58+S91+S110+S151+S171+S193</f>
        <v>0</v>
      </c>
      <c r="T201" s="619">
        <f aca="true" t="shared" si="44" ref="T201:Z201">SUM(T58:T200)</f>
        <v>0</v>
      </c>
      <c r="U201" s="619">
        <f t="shared" si="44"/>
        <v>0</v>
      </c>
      <c r="V201" s="619">
        <f t="shared" si="44"/>
        <v>0</v>
      </c>
      <c r="W201" s="619">
        <f t="shared" si="44"/>
        <v>0</v>
      </c>
      <c r="X201" s="619">
        <f t="shared" si="44"/>
        <v>0</v>
      </c>
      <c r="Y201" s="619">
        <f t="shared" si="44"/>
        <v>0</v>
      </c>
      <c r="Z201" s="619">
        <f t="shared" si="44"/>
        <v>0</v>
      </c>
      <c r="AA201" s="76"/>
      <c r="AB201" s="76"/>
      <c r="AC201" s="76"/>
    </row>
    <row r="202" spans="14:29" ht="13.5" thickBot="1">
      <c r="N202" s="436" t="e">
        <f>N201/L201</f>
        <v>#DIV/0!</v>
      </c>
      <c r="O202" s="591"/>
      <c r="P202" s="436" t="e">
        <f>P201/L201</f>
        <v>#DIV/0!</v>
      </c>
      <c r="S202" s="436">
        <f>(-0.00040937*S201*S201)+(0.0908*S201)-0.00004758</f>
        <v>-4.758E-05</v>
      </c>
      <c r="T202" s="461" t="e">
        <f aca="true" t="shared" si="45" ref="T202:Z202">(T201/$S$201)*100</f>
        <v>#DIV/0!</v>
      </c>
      <c r="U202" s="462" t="e">
        <f t="shared" si="45"/>
        <v>#DIV/0!</v>
      </c>
      <c r="V202" s="462" t="e">
        <f t="shared" si="45"/>
        <v>#DIV/0!</v>
      </c>
      <c r="W202" s="462" t="e">
        <f t="shared" si="45"/>
        <v>#DIV/0!</v>
      </c>
      <c r="X202" s="462" t="e">
        <f t="shared" si="45"/>
        <v>#DIV/0!</v>
      </c>
      <c r="Y202" s="462" t="e">
        <f t="shared" si="45"/>
        <v>#DIV/0!</v>
      </c>
      <c r="Z202" s="570" t="e">
        <f t="shared" si="45"/>
        <v>#DIV/0!</v>
      </c>
      <c r="AA202" s="76" t="s">
        <v>134</v>
      </c>
      <c r="AB202" s="76"/>
      <c r="AC202" s="76"/>
    </row>
    <row r="203" spans="4:29" ht="12.75">
      <c r="D203" s="435"/>
      <c r="E203" s="476"/>
      <c r="F203" s="477"/>
      <c r="G203" s="476"/>
      <c r="H203" s="477"/>
      <c r="I203" s="435"/>
      <c r="J203" s="435"/>
      <c r="K203" s="435"/>
      <c r="L203" s="435"/>
      <c r="M203" s="435"/>
      <c r="N203" s="129" t="s">
        <v>136</v>
      </c>
      <c r="O203" s="129"/>
      <c r="P203" s="129" t="s">
        <v>137</v>
      </c>
      <c r="S203" s="435" t="s">
        <v>135</v>
      </c>
      <c r="T203" s="435" t="s">
        <v>128</v>
      </c>
      <c r="U203" s="435" t="s">
        <v>129</v>
      </c>
      <c r="V203" s="435" t="s">
        <v>130</v>
      </c>
      <c r="W203" s="435" t="s">
        <v>131</v>
      </c>
      <c r="X203" s="435" t="s">
        <v>132</v>
      </c>
      <c r="Y203" s="435" t="s">
        <v>133</v>
      </c>
      <c r="Z203" s="435" t="s">
        <v>28</v>
      </c>
      <c r="AA203" s="76"/>
      <c r="AB203" s="76"/>
      <c r="AC203" s="76"/>
    </row>
    <row r="204" spans="27:29" ht="12.75">
      <c r="AA204" s="76"/>
      <c r="AB204" s="76"/>
      <c r="AC204" s="76"/>
    </row>
    <row r="205" spans="27:29" ht="12.75">
      <c r="AA205" s="76"/>
      <c r="AB205" s="76"/>
      <c r="AC205" s="76"/>
    </row>
    <row r="206" spans="27:29" ht="12.75">
      <c r="AA206" s="76"/>
      <c r="AB206" s="76"/>
      <c r="AC206" s="76"/>
    </row>
    <row r="207" spans="27:29" ht="12.75">
      <c r="AA207" s="76"/>
      <c r="AB207" s="76"/>
      <c r="AC207" s="76"/>
    </row>
    <row r="208" spans="27:29" ht="12.75">
      <c r="AA208" s="76"/>
      <c r="AB208" s="76"/>
      <c r="AC208" s="76"/>
    </row>
    <row r="209" spans="27:29" ht="12.75">
      <c r="AA209" s="76"/>
      <c r="AB209" s="76"/>
      <c r="AC209" s="76"/>
    </row>
    <row r="210" spans="27:29" ht="12.75">
      <c r="AA210" s="76"/>
      <c r="AB210" s="76"/>
      <c r="AC210" s="76"/>
    </row>
    <row r="211" spans="27:29" ht="12.75">
      <c r="AA211" s="76"/>
      <c r="AB211" s="76"/>
      <c r="AC211" s="76"/>
    </row>
    <row r="212" spans="27:29" ht="12.75">
      <c r="AA212" s="76"/>
      <c r="AB212" s="76"/>
      <c r="AC212" s="76"/>
    </row>
    <row r="213" spans="27:29" ht="12.75">
      <c r="AA213" s="76"/>
      <c r="AB213" s="76"/>
      <c r="AC213" s="76"/>
    </row>
    <row r="214" spans="27:29" ht="12.75">
      <c r="AA214" s="76"/>
      <c r="AB214" s="76"/>
      <c r="AC214" s="76"/>
    </row>
  </sheetData>
  <mergeCells count="6">
    <mergeCell ref="I56:J56"/>
    <mergeCell ref="T56:Z56"/>
    <mergeCell ref="M56:N56"/>
    <mergeCell ref="O56:P56"/>
    <mergeCell ref="Q56:S56"/>
    <mergeCell ref="K56:L56"/>
  </mergeCells>
  <printOptions/>
  <pageMargins left="0.75" right="0.75" top="1" bottom="1" header="0" footer="0"/>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dimension ref="A1:AC203"/>
  <sheetViews>
    <sheetView zoomScale="85" zoomScaleNormal="85" workbookViewId="0" topLeftCell="K1">
      <selection activeCell="R1" sqref="R1:AC16384"/>
    </sheetView>
  </sheetViews>
  <sheetFormatPr defaultColWidth="11.421875" defaultRowHeight="12.75"/>
  <cols>
    <col min="1" max="1" width="5.421875" style="368" customWidth="1"/>
    <col min="2" max="2" width="11.421875" style="368" customWidth="1"/>
    <col min="3" max="3" width="8.28125" style="368" customWidth="1"/>
    <col min="4" max="4" width="6.57421875" style="368" customWidth="1"/>
    <col min="5" max="5" width="6.8515625" style="368" customWidth="1"/>
    <col min="6" max="6" width="11.421875" style="368" customWidth="1"/>
    <col min="7" max="7" width="7.7109375" style="368" customWidth="1"/>
    <col min="8" max="8" width="7.140625" style="368" customWidth="1"/>
    <col min="9" max="14" width="11.421875" style="368" customWidth="1"/>
    <col min="15" max="15" width="8.28125" style="368" customWidth="1"/>
    <col min="16" max="16" width="11.421875" style="368" customWidth="1"/>
    <col min="17" max="17" width="9.00390625" style="368" customWidth="1"/>
    <col min="18" max="18" width="8.28125" style="368" customWidth="1"/>
    <col min="19" max="19" width="11.00390625" style="368" customWidth="1"/>
    <col min="20" max="26" width="4.7109375" style="368" customWidth="1"/>
    <col min="27" max="29" width="11.421875" style="368" customWidth="1"/>
  </cols>
  <sheetData>
    <row r="1" spans="1:29" s="13" customFormat="1" ht="18.75" thickBot="1">
      <c r="A1" s="389"/>
      <c r="B1" s="397" t="s">
        <v>457</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row>
    <row r="2" spans="1:29" s="16" customFormat="1" ht="20.25">
      <c r="A2" s="390"/>
      <c r="B2" s="399"/>
      <c r="C2" s="390"/>
      <c r="D2" s="390"/>
      <c r="E2" s="390"/>
      <c r="F2" s="390"/>
      <c r="G2" s="390"/>
      <c r="H2" s="390"/>
      <c r="I2" s="390"/>
      <c r="J2" s="390"/>
      <c r="K2" s="390"/>
      <c r="L2" s="390"/>
      <c r="M2" s="390"/>
      <c r="N2" s="390"/>
      <c r="O2" s="128"/>
      <c r="P2" s="390"/>
      <c r="Q2" s="390"/>
      <c r="R2" s="390"/>
      <c r="S2" s="390"/>
      <c r="T2" s="390"/>
      <c r="U2" s="390"/>
      <c r="V2" s="390"/>
      <c r="W2" s="390"/>
      <c r="X2" s="390"/>
      <c r="Y2" s="390"/>
      <c r="Z2" s="390"/>
      <c r="AA2" s="390"/>
      <c r="AB2" s="390"/>
      <c r="AC2" s="390"/>
    </row>
    <row r="3" spans="16:17" ht="12.75">
      <c r="P3" s="129"/>
      <c r="Q3" s="129"/>
    </row>
    <row r="4" spans="16:18" ht="12.75">
      <c r="P4" s="115"/>
      <c r="Q4" s="115"/>
      <c r="R4" s="390"/>
    </row>
    <row r="5" spans="2:18" ht="15.75">
      <c r="B5" s="129" t="s">
        <v>47</v>
      </c>
      <c r="F5" s="400"/>
      <c r="G5" s="400"/>
      <c r="I5" s="401"/>
      <c r="J5" s="401"/>
      <c r="K5" s="401"/>
      <c r="L5" s="401"/>
      <c r="P5" s="115"/>
      <c r="Q5" s="115"/>
      <c r="R5" s="390"/>
    </row>
    <row r="6" spans="2:18" ht="12.75">
      <c r="B6" s="571"/>
      <c r="C6" s="572"/>
      <c r="D6" s="573" t="s">
        <v>48</v>
      </c>
      <c r="E6" s="574" t="s">
        <v>49</v>
      </c>
      <c r="F6" s="574" t="s">
        <v>50</v>
      </c>
      <c r="G6" s="575" t="s">
        <v>51</v>
      </c>
      <c r="I6" s="401"/>
      <c r="J6" s="401"/>
      <c r="K6" s="401"/>
      <c r="L6" s="401"/>
      <c r="P6" s="115"/>
      <c r="Q6" s="115"/>
      <c r="R6" s="390"/>
    </row>
    <row r="7" spans="2:18" ht="12.75">
      <c r="B7" s="576" t="s">
        <v>52</v>
      </c>
      <c r="C7" s="577"/>
      <c r="D7" s="534">
        <v>1</v>
      </c>
      <c r="E7" s="534">
        <v>1</v>
      </c>
      <c r="F7" s="534">
        <v>1</v>
      </c>
      <c r="G7" s="534" t="s">
        <v>53</v>
      </c>
      <c r="I7" s="401"/>
      <c r="J7" s="401"/>
      <c r="K7" s="401"/>
      <c r="L7" s="401"/>
      <c r="P7" s="115"/>
      <c r="Q7" s="115"/>
      <c r="R7" s="390"/>
    </row>
    <row r="8" spans="16:18" ht="12.75">
      <c r="P8" s="115"/>
      <c r="Q8" s="115"/>
      <c r="R8" s="390"/>
    </row>
    <row r="9" spans="2:18" ht="12.75">
      <c r="B9" s="129" t="s">
        <v>54</v>
      </c>
      <c r="F9" s="129" t="s">
        <v>55</v>
      </c>
      <c r="J9" s="129" t="s">
        <v>56</v>
      </c>
      <c r="P9" s="115"/>
      <c r="Q9" s="115"/>
      <c r="R9" s="390"/>
    </row>
    <row r="10" spans="2:18" ht="12.75">
      <c r="B10" s="578" t="s">
        <v>57</v>
      </c>
      <c r="F10" s="578" t="s">
        <v>58</v>
      </c>
      <c r="P10" s="115"/>
      <c r="Q10" s="115"/>
      <c r="R10" s="390"/>
    </row>
    <row r="11" spans="2:18" ht="12.75">
      <c r="B11" s="579" t="s">
        <v>59</v>
      </c>
      <c r="C11" s="580"/>
      <c r="F11" s="579" t="s">
        <v>60</v>
      </c>
      <c r="G11" s="580"/>
      <c r="J11" s="113"/>
      <c r="K11" s="390"/>
      <c r="L11" s="401"/>
      <c r="Q11" s="115"/>
      <c r="R11" s="390"/>
    </row>
    <row r="12" spans="2:18" ht="12.75">
      <c r="B12" s="574" t="s">
        <v>62</v>
      </c>
      <c r="C12" s="574" t="s">
        <v>63</v>
      </c>
      <c r="F12" s="574" t="s">
        <v>62</v>
      </c>
      <c r="G12" s="574" t="s">
        <v>63</v>
      </c>
      <c r="J12" s="129" t="s">
        <v>146</v>
      </c>
      <c r="K12" s="401"/>
      <c r="L12" s="401"/>
      <c r="M12" s="401"/>
      <c r="N12" s="373" t="s">
        <v>181</v>
      </c>
      <c r="O12" s="410"/>
      <c r="P12" s="407"/>
      <c r="Q12" s="115"/>
      <c r="R12" s="390"/>
    </row>
    <row r="13" spans="2:18" ht="13.5" thickBot="1">
      <c r="B13" s="534" t="s">
        <v>65</v>
      </c>
      <c r="C13" s="582">
        <v>5</v>
      </c>
      <c r="F13" s="534">
        <v>210</v>
      </c>
      <c r="G13" s="582">
        <v>5</v>
      </c>
      <c r="K13" s="477" t="s">
        <v>179</v>
      </c>
      <c r="L13" s="403" t="s">
        <v>180</v>
      </c>
      <c r="M13" s="404"/>
      <c r="N13" s="451"/>
      <c r="O13" s="449" t="s">
        <v>179</v>
      </c>
      <c r="P13" s="403" t="s">
        <v>180</v>
      </c>
      <c r="Q13" s="115"/>
      <c r="R13" s="390"/>
    </row>
    <row r="14" spans="2:18" ht="13.5" thickBot="1">
      <c r="B14" s="534">
        <v>150</v>
      </c>
      <c r="C14" s="582">
        <v>4.166666666666667</v>
      </c>
      <c r="F14" s="534">
        <v>180</v>
      </c>
      <c r="G14" s="582">
        <v>4.285714285714286</v>
      </c>
      <c r="J14" s="420" t="s">
        <v>61</v>
      </c>
      <c r="K14" s="427" t="s">
        <v>0</v>
      </c>
      <c r="L14" s="427" t="s">
        <v>0</v>
      </c>
      <c r="N14" s="452" t="s">
        <v>61</v>
      </c>
      <c r="O14" s="478" t="s">
        <v>0</v>
      </c>
      <c r="P14" s="412" t="s">
        <v>0</v>
      </c>
      <c r="Q14" s="115"/>
      <c r="R14" s="390"/>
    </row>
    <row r="15" spans="2:18" ht="12.75">
      <c r="B15" s="534">
        <v>120</v>
      </c>
      <c r="C15" s="582">
        <v>3.333333333333333</v>
      </c>
      <c r="F15" s="534">
        <v>165</v>
      </c>
      <c r="G15" s="582">
        <v>3.9285714285714284</v>
      </c>
      <c r="J15" s="425">
        <v>10</v>
      </c>
      <c r="K15" s="467">
        <v>4.2857142857142865</v>
      </c>
      <c r="L15" s="467">
        <v>5</v>
      </c>
      <c r="N15" s="452">
        <v>10</v>
      </c>
      <c r="O15" s="507">
        <v>4.2857142857142865</v>
      </c>
      <c r="P15" s="453">
        <v>5</v>
      </c>
      <c r="Q15" s="115"/>
      <c r="R15" s="390"/>
    </row>
    <row r="16" spans="2:18" ht="12.75">
      <c r="B16" s="534">
        <v>90</v>
      </c>
      <c r="C16" s="582">
        <v>2.5</v>
      </c>
      <c r="F16" s="534">
        <v>150</v>
      </c>
      <c r="G16" s="582">
        <v>3.5714285714285716</v>
      </c>
      <c r="J16" s="425">
        <v>9</v>
      </c>
      <c r="K16" s="467">
        <v>4</v>
      </c>
      <c r="L16" s="467">
        <v>4.857142857142857</v>
      </c>
      <c r="N16" s="425">
        <v>9</v>
      </c>
      <c r="O16" s="467">
        <v>4</v>
      </c>
      <c r="P16" s="454">
        <v>4.857142857142857</v>
      </c>
      <c r="Q16" s="115"/>
      <c r="R16" s="390"/>
    </row>
    <row r="17" spans="2:18" ht="12.75">
      <c r="B17" s="534">
        <v>75</v>
      </c>
      <c r="C17" s="582">
        <v>2.0833333333333335</v>
      </c>
      <c r="F17" s="534">
        <v>135</v>
      </c>
      <c r="G17" s="582">
        <v>3.2142857142857144</v>
      </c>
      <c r="J17" s="425">
        <v>8</v>
      </c>
      <c r="K17" s="467">
        <v>3.4285714285714284</v>
      </c>
      <c r="L17" s="467">
        <v>4.476190476190476</v>
      </c>
      <c r="N17" s="425">
        <v>8</v>
      </c>
      <c r="O17" s="467">
        <v>3.4285714285714284</v>
      </c>
      <c r="P17" s="454">
        <v>4.476190476190476</v>
      </c>
      <c r="Q17" s="115"/>
      <c r="R17" s="390"/>
    </row>
    <row r="18" spans="2:18" ht="12.75">
      <c r="B18" s="534">
        <v>60</v>
      </c>
      <c r="C18" s="582">
        <v>1.6666666666666665</v>
      </c>
      <c r="F18" s="534">
        <v>120</v>
      </c>
      <c r="G18" s="582">
        <v>2.8571428571428568</v>
      </c>
      <c r="J18" s="425">
        <v>7</v>
      </c>
      <c r="K18" s="467">
        <v>2.571428571428571</v>
      </c>
      <c r="L18" s="467">
        <v>3.761904761904762</v>
      </c>
      <c r="N18" s="425">
        <v>7</v>
      </c>
      <c r="O18" s="467">
        <v>2.571428571428571</v>
      </c>
      <c r="P18" s="454">
        <v>3.761904761904762</v>
      </c>
      <c r="Q18" s="115"/>
      <c r="R18" s="390"/>
    </row>
    <row r="19" spans="2:18" ht="12.75">
      <c r="B19" s="534">
        <v>45</v>
      </c>
      <c r="C19" s="582">
        <v>1.25</v>
      </c>
      <c r="F19" s="534">
        <v>105</v>
      </c>
      <c r="G19" s="582">
        <v>2.5</v>
      </c>
      <c r="J19" s="425">
        <v>6</v>
      </c>
      <c r="K19" s="467">
        <v>1.7142857142857142</v>
      </c>
      <c r="L19" s="467">
        <v>2.7619047619047623</v>
      </c>
      <c r="N19" s="425">
        <v>6</v>
      </c>
      <c r="O19" s="467">
        <v>1.7142857142857142</v>
      </c>
      <c r="P19" s="454">
        <v>2.7619047619047623</v>
      </c>
      <c r="Q19" s="115"/>
      <c r="R19" s="390"/>
    </row>
    <row r="20" spans="2:18" ht="12.75">
      <c r="B20" s="534">
        <v>30</v>
      </c>
      <c r="C20" s="582">
        <v>0.8333333333333333</v>
      </c>
      <c r="F20" s="534">
        <v>90</v>
      </c>
      <c r="G20" s="582">
        <v>2.142857142857143</v>
      </c>
      <c r="J20" s="425">
        <v>5</v>
      </c>
      <c r="K20" s="467">
        <v>1.142857142857143</v>
      </c>
      <c r="L20" s="467">
        <v>2</v>
      </c>
      <c r="N20" s="425">
        <v>5</v>
      </c>
      <c r="O20" s="467">
        <v>1.142857142857143</v>
      </c>
      <c r="P20" s="454">
        <v>2</v>
      </c>
      <c r="Q20" s="115"/>
      <c r="R20" s="390"/>
    </row>
    <row r="21" spans="2:18" ht="12.75">
      <c r="B21" s="534" t="s">
        <v>73</v>
      </c>
      <c r="C21" s="582" t="s">
        <v>74</v>
      </c>
      <c r="F21" s="534">
        <v>75</v>
      </c>
      <c r="G21" s="582">
        <v>1.7857142857142858</v>
      </c>
      <c r="J21" s="425">
        <v>4</v>
      </c>
      <c r="K21" s="467">
        <v>0.5714285714285715</v>
      </c>
      <c r="L21" s="467">
        <v>1.0476190476190477</v>
      </c>
      <c r="N21" s="425">
        <v>4</v>
      </c>
      <c r="O21" s="467">
        <v>0.8571428571428571</v>
      </c>
      <c r="P21" s="454">
        <v>1.4285714285714286</v>
      </c>
      <c r="Q21" s="115"/>
      <c r="R21" s="390"/>
    </row>
    <row r="22" spans="2:18" ht="13.5" thickBot="1">
      <c r="B22" s="534" t="s">
        <v>75</v>
      </c>
      <c r="C22" s="534">
        <v>0</v>
      </c>
      <c r="F22" s="534">
        <v>60</v>
      </c>
      <c r="G22" s="582">
        <v>1.4285714285714284</v>
      </c>
      <c r="J22" s="508">
        <v>3</v>
      </c>
      <c r="K22" s="456">
        <v>0.28571428571428575</v>
      </c>
      <c r="L22" s="456">
        <v>0.5238095238095238</v>
      </c>
      <c r="N22" s="425">
        <v>3</v>
      </c>
      <c r="O22" s="467">
        <v>0.8571428571428571</v>
      </c>
      <c r="P22" s="454">
        <v>1.2857142857142858</v>
      </c>
      <c r="Q22" s="115"/>
      <c r="R22" s="390"/>
    </row>
    <row r="23" spans="2:18" ht="12.75">
      <c r="B23" s="578" t="s">
        <v>77</v>
      </c>
      <c r="F23" s="534">
        <v>45</v>
      </c>
      <c r="G23" s="582">
        <v>1.0714285714285714</v>
      </c>
      <c r="J23" s="113"/>
      <c r="K23" s="401"/>
      <c r="L23" s="407"/>
      <c r="N23" s="425">
        <v>2</v>
      </c>
      <c r="O23" s="467">
        <v>0.8571428571428571</v>
      </c>
      <c r="P23" s="454">
        <v>1.142857142857143</v>
      </c>
      <c r="Q23" s="115"/>
      <c r="R23" s="390"/>
    </row>
    <row r="24" spans="6:18" ht="13.5" thickBot="1">
      <c r="F24" s="534" t="s">
        <v>78</v>
      </c>
      <c r="G24" s="534">
        <v>1</v>
      </c>
      <c r="J24" s="448" t="s">
        <v>183</v>
      </c>
      <c r="K24" s="447"/>
      <c r="N24" s="508">
        <v>1</v>
      </c>
      <c r="O24" s="456">
        <v>0.8571428571428571</v>
      </c>
      <c r="P24" s="455">
        <v>1.142857142857143</v>
      </c>
      <c r="Q24" s="115"/>
      <c r="R24" s="390"/>
    </row>
    <row r="25" spans="6:18" ht="13.5" thickBot="1">
      <c r="F25" s="534">
        <v>30</v>
      </c>
      <c r="G25" s="582">
        <v>0.7142857142857142</v>
      </c>
      <c r="L25" s="477" t="s">
        <v>179</v>
      </c>
      <c r="M25" s="403" t="s">
        <v>180</v>
      </c>
      <c r="N25" s="404"/>
      <c r="Q25" s="115"/>
      <c r="R25" s="494"/>
    </row>
    <row r="26" spans="6:18" ht="13.5" thickBot="1">
      <c r="F26" s="534" t="s">
        <v>81</v>
      </c>
      <c r="G26" s="582">
        <v>0.5</v>
      </c>
      <c r="J26" s="420" t="s">
        <v>61</v>
      </c>
      <c r="K26" s="460"/>
      <c r="L26" s="460" t="s">
        <v>0</v>
      </c>
      <c r="M26" s="460" t="s">
        <v>0</v>
      </c>
      <c r="Q26" s="115"/>
      <c r="R26" s="390"/>
    </row>
    <row r="27" spans="6:18" ht="12.75">
      <c r="F27" s="534" t="s">
        <v>75</v>
      </c>
      <c r="G27" s="534">
        <v>0</v>
      </c>
      <c r="J27" s="509" t="s">
        <v>182</v>
      </c>
      <c r="K27" s="404"/>
      <c r="L27" s="510">
        <v>4.2857142857142865</v>
      </c>
      <c r="M27" s="511">
        <v>5</v>
      </c>
      <c r="Q27" s="115"/>
      <c r="R27" s="390"/>
    </row>
    <row r="28" spans="6:18" ht="12.75">
      <c r="F28" s="578" t="s">
        <v>77</v>
      </c>
      <c r="J28" s="509" t="s">
        <v>72</v>
      </c>
      <c r="K28" s="404"/>
      <c r="L28" s="510">
        <v>3.4285714285714284</v>
      </c>
      <c r="M28" s="510">
        <v>4.571428571428572</v>
      </c>
      <c r="Q28" s="115"/>
      <c r="R28" s="390"/>
    </row>
    <row r="29" spans="10:18" ht="13.5" thickBot="1">
      <c r="J29" s="512" t="s">
        <v>79</v>
      </c>
      <c r="K29" s="513"/>
      <c r="L29" s="439">
        <v>2.5714285714285716</v>
      </c>
      <c r="M29" s="439">
        <v>3.857142857142857</v>
      </c>
      <c r="Q29" s="115"/>
      <c r="R29" s="390"/>
    </row>
    <row r="30" spans="2:18" ht="12.75">
      <c r="B30" s="129" t="s">
        <v>83</v>
      </c>
      <c r="P30" s="115"/>
      <c r="Q30" s="115"/>
      <c r="R30" s="390"/>
    </row>
    <row r="31" spans="16:18" ht="12.75">
      <c r="P31" s="115"/>
      <c r="Q31" s="115"/>
      <c r="R31" s="390"/>
    </row>
    <row r="32" spans="2:18" ht="12.75">
      <c r="B32" s="129" t="s">
        <v>84</v>
      </c>
      <c r="E32" s="129" t="s">
        <v>85</v>
      </c>
      <c r="H32" s="477" t="s">
        <v>100</v>
      </c>
      <c r="K32" s="477" t="s">
        <v>101</v>
      </c>
      <c r="P32" s="115"/>
      <c r="Q32" s="115"/>
      <c r="R32" s="390"/>
    </row>
    <row r="33" spans="2:18" ht="12.75">
      <c r="B33" s="435" t="s">
        <v>86</v>
      </c>
      <c r="C33" s="435" t="s">
        <v>0</v>
      </c>
      <c r="D33" s="113"/>
      <c r="E33" s="435" t="s">
        <v>86</v>
      </c>
      <c r="F33" s="435" t="s">
        <v>0</v>
      </c>
      <c r="G33" s="113"/>
      <c r="H33" s="435" t="s">
        <v>86</v>
      </c>
      <c r="I33" s="435" t="s">
        <v>0</v>
      </c>
      <c r="J33" s="435"/>
      <c r="K33" s="435" t="s">
        <v>86</v>
      </c>
      <c r="L33" s="435" t="s">
        <v>0</v>
      </c>
      <c r="M33" s="113"/>
      <c r="N33" s="113"/>
      <c r="P33" s="115"/>
      <c r="Q33" s="115"/>
      <c r="R33" s="390"/>
    </row>
    <row r="34" spans="2:18" ht="12.75">
      <c r="B34" s="583" t="s">
        <v>87</v>
      </c>
      <c r="C34" s="531">
        <v>1</v>
      </c>
      <c r="D34" s="415"/>
      <c r="E34" s="531" t="s">
        <v>102</v>
      </c>
      <c r="F34" s="584">
        <v>0.99976661332114</v>
      </c>
      <c r="G34" s="415"/>
      <c r="H34" s="531" t="s">
        <v>102</v>
      </c>
      <c r="I34" s="584">
        <v>1</v>
      </c>
      <c r="J34" s="407"/>
      <c r="K34" s="531" t="s">
        <v>88</v>
      </c>
      <c r="L34" s="584">
        <v>0.8331388444342834</v>
      </c>
      <c r="M34" s="415"/>
      <c r="N34" s="486"/>
      <c r="P34" s="115"/>
      <c r="Q34" s="115"/>
      <c r="R34" s="390"/>
    </row>
    <row r="35" spans="2:18" ht="12.75">
      <c r="B35" s="531">
        <v>10</v>
      </c>
      <c r="C35" s="584">
        <v>0.9722222222222223</v>
      </c>
      <c r="D35" s="415"/>
      <c r="E35" s="531" t="s">
        <v>103</v>
      </c>
      <c r="F35" s="584">
        <v>0.9915980795610425</v>
      </c>
      <c r="G35" s="415"/>
      <c r="H35" s="531">
        <v>10</v>
      </c>
      <c r="I35" s="584">
        <v>1</v>
      </c>
      <c r="J35" s="407"/>
      <c r="K35" s="531" t="s">
        <v>89</v>
      </c>
      <c r="L35" s="584">
        <v>0.8263317329675355</v>
      </c>
      <c r="M35" s="415"/>
      <c r="N35" s="486"/>
      <c r="P35" s="115"/>
      <c r="Q35" s="115"/>
      <c r="R35" s="390"/>
    </row>
    <row r="36" spans="2:18" ht="12.75">
      <c r="B36" s="531" t="s">
        <v>90</v>
      </c>
      <c r="C36" s="584">
        <v>0.9444444444444444</v>
      </c>
      <c r="D36" s="415"/>
      <c r="E36" s="531">
        <v>10</v>
      </c>
      <c r="F36" s="584">
        <v>0.9814814814814814</v>
      </c>
      <c r="G36" s="415"/>
      <c r="H36" s="531" t="s">
        <v>103</v>
      </c>
      <c r="I36" s="584">
        <v>0.9994855967078188</v>
      </c>
      <c r="J36" s="407"/>
      <c r="K36" s="531">
        <v>10</v>
      </c>
      <c r="L36" s="584">
        <v>0.8179012345679012</v>
      </c>
      <c r="M36" s="415"/>
      <c r="N36" s="486"/>
      <c r="P36" s="115"/>
      <c r="Q36" s="115"/>
      <c r="R36" s="390"/>
    </row>
    <row r="37" spans="2:18" ht="12.75">
      <c r="B37" s="531">
        <v>8</v>
      </c>
      <c r="C37" s="584">
        <v>0.9166666666666667</v>
      </c>
      <c r="D37" s="415"/>
      <c r="E37" s="531" t="s">
        <v>104</v>
      </c>
      <c r="F37" s="584">
        <v>0.9814814814814815</v>
      </c>
      <c r="G37" s="415"/>
      <c r="H37" s="551" t="s">
        <v>104</v>
      </c>
      <c r="I37" s="585">
        <v>0.9953703703703703</v>
      </c>
      <c r="J37" s="407"/>
      <c r="K37" s="531" t="s">
        <v>91</v>
      </c>
      <c r="L37" s="584">
        <v>0.8179012345679013</v>
      </c>
      <c r="M37" s="415"/>
      <c r="N37" s="486"/>
      <c r="P37" s="115"/>
      <c r="Q37" s="115"/>
      <c r="R37" s="390"/>
    </row>
    <row r="38" spans="2:18" ht="12.75">
      <c r="B38" s="531" t="s">
        <v>92</v>
      </c>
      <c r="C38" s="584">
        <v>0.8888888888888888</v>
      </c>
      <c r="D38" s="415"/>
      <c r="E38" s="531" t="s">
        <v>105</v>
      </c>
      <c r="F38" s="584">
        <v>0.948559670781893</v>
      </c>
      <c r="G38" s="415"/>
      <c r="H38" s="561" t="s">
        <v>105</v>
      </c>
      <c r="I38" s="585">
        <v>0.9814814814814815</v>
      </c>
      <c r="J38" s="407"/>
      <c r="K38" s="531" t="s">
        <v>93</v>
      </c>
      <c r="L38" s="584">
        <v>0.7904663923182441</v>
      </c>
      <c r="M38" s="415"/>
      <c r="N38" s="486"/>
      <c r="P38" s="115"/>
      <c r="Q38" s="115"/>
      <c r="R38" s="390"/>
    </row>
    <row r="39" spans="2:18" ht="12.75">
      <c r="B39" s="531">
        <v>6</v>
      </c>
      <c r="C39" s="584">
        <v>0.8611111111111112</v>
      </c>
      <c r="D39" s="415"/>
      <c r="E39" s="531">
        <v>9</v>
      </c>
      <c r="F39" s="584">
        <v>0.9444444444444444</v>
      </c>
      <c r="G39" s="415"/>
      <c r="H39" s="586">
        <v>9</v>
      </c>
      <c r="I39" s="587">
        <v>0.9814814814814814</v>
      </c>
      <c r="J39" s="407"/>
      <c r="K39" s="531">
        <v>9</v>
      </c>
      <c r="L39" s="584">
        <v>0.7870370370370371</v>
      </c>
      <c r="M39" s="415"/>
      <c r="N39" s="486"/>
      <c r="P39" s="115"/>
      <c r="Q39" s="115"/>
      <c r="R39" s="390"/>
    </row>
    <row r="40" spans="2:18" ht="12.75">
      <c r="B40" s="531">
        <v>5</v>
      </c>
      <c r="C40" s="584">
        <v>0.8333333333333334</v>
      </c>
      <c r="D40" s="415"/>
      <c r="E40" s="531">
        <v>8</v>
      </c>
      <c r="F40" s="584">
        <v>0.8888888888888888</v>
      </c>
      <c r="G40" s="415"/>
      <c r="H40" s="588" t="s">
        <v>106</v>
      </c>
      <c r="I40" s="587">
        <v>0.948559670781893</v>
      </c>
      <c r="J40" s="407"/>
      <c r="K40" s="531">
        <v>8</v>
      </c>
      <c r="L40" s="584">
        <v>0.7407407407407407</v>
      </c>
      <c r="M40" s="415"/>
      <c r="N40" s="486"/>
      <c r="P40" s="115"/>
      <c r="Q40" s="115"/>
      <c r="R40" s="390"/>
    </row>
    <row r="41" spans="2:18" ht="12.75">
      <c r="B41" s="531" t="s">
        <v>94</v>
      </c>
      <c r="C41" s="584">
        <v>0.75</v>
      </c>
      <c r="D41" s="415"/>
      <c r="E41" s="531" t="s">
        <v>106</v>
      </c>
      <c r="F41" s="584">
        <v>0.8842592592592593</v>
      </c>
      <c r="G41" s="415"/>
      <c r="H41" s="531">
        <v>8</v>
      </c>
      <c r="I41" s="584">
        <v>0.9444444444444444</v>
      </c>
      <c r="J41" s="407"/>
      <c r="K41" s="531" t="s">
        <v>95</v>
      </c>
      <c r="L41" s="584">
        <v>0.7368827160493828</v>
      </c>
      <c r="M41" s="415"/>
      <c r="N41" s="486"/>
      <c r="P41" s="115"/>
      <c r="Q41" s="115"/>
      <c r="R41" s="390"/>
    </row>
    <row r="42" spans="2:18" ht="12.75">
      <c r="B42" s="531">
        <v>4</v>
      </c>
      <c r="C42" s="584">
        <v>0.6666666666666666</v>
      </c>
      <c r="D42" s="415"/>
      <c r="E42" s="531">
        <v>7</v>
      </c>
      <c r="F42" s="584">
        <v>0.8148148148148148</v>
      </c>
      <c r="G42" s="415"/>
      <c r="H42" s="531">
        <v>7</v>
      </c>
      <c r="I42" s="584">
        <v>0.8888888888888888</v>
      </c>
      <c r="J42" s="407"/>
      <c r="K42" s="531">
        <v>7</v>
      </c>
      <c r="L42" s="584">
        <v>0.6790123456790124</v>
      </c>
      <c r="M42" s="415"/>
      <c r="N42" s="486"/>
      <c r="P42" s="115"/>
      <c r="Q42" s="115"/>
      <c r="R42" s="390"/>
    </row>
    <row r="43" spans="2:18" ht="12.75">
      <c r="B43" s="531" t="s">
        <v>96</v>
      </c>
      <c r="C43" s="584">
        <v>0.5555555555555556</v>
      </c>
      <c r="D43" s="415"/>
      <c r="E43" s="531" t="s">
        <v>107</v>
      </c>
      <c r="F43" s="584">
        <v>0.7731481481481481</v>
      </c>
      <c r="G43" s="415"/>
      <c r="H43" s="531" t="s">
        <v>107</v>
      </c>
      <c r="I43" s="584">
        <v>0.8842592592592593</v>
      </c>
      <c r="J43" s="407"/>
      <c r="K43" s="531" t="s">
        <v>97</v>
      </c>
      <c r="L43" s="584">
        <v>0.6442901234567902</v>
      </c>
      <c r="M43" s="415"/>
      <c r="N43" s="486"/>
      <c r="P43" s="115"/>
      <c r="Q43" s="115"/>
      <c r="R43" s="390"/>
    </row>
    <row r="44" spans="2:18" ht="12.75">
      <c r="B44" s="531">
        <v>3</v>
      </c>
      <c r="C44" s="584">
        <v>0.5</v>
      </c>
      <c r="D44" s="415"/>
      <c r="E44" s="531">
        <v>6</v>
      </c>
      <c r="F44" s="584">
        <v>0.7222222222222222</v>
      </c>
      <c r="G44" s="415"/>
      <c r="H44" s="531">
        <v>6</v>
      </c>
      <c r="I44" s="584">
        <v>0.8148148148148148</v>
      </c>
      <c r="J44" s="407"/>
      <c r="K44" s="531">
        <v>6</v>
      </c>
      <c r="L44" s="584">
        <v>0.6018518518518519</v>
      </c>
      <c r="M44" s="415"/>
      <c r="N44" s="486"/>
      <c r="P44" s="115"/>
      <c r="Q44" s="115"/>
      <c r="R44" s="390"/>
    </row>
    <row r="45" spans="2:18" ht="12.75">
      <c r="B45" s="531">
        <v>2</v>
      </c>
      <c r="C45" s="584">
        <v>0.3333333333333333</v>
      </c>
      <c r="D45" s="415"/>
      <c r="E45" s="531" t="s">
        <v>108</v>
      </c>
      <c r="F45" s="584">
        <v>0.6522633744855967</v>
      </c>
      <c r="G45" s="415"/>
      <c r="H45" s="531" t="s">
        <v>108</v>
      </c>
      <c r="I45" s="584">
        <v>0.7731481481481481</v>
      </c>
      <c r="J45" s="407"/>
      <c r="K45" s="531" t="s">
        <v>98</v>
      </c>
      <c r="L45" s="584">
        <v>0.5435528120713305</v>
      </c>
      <c r="M45" s="415"/>
      <c r="N45" s="486"/>
      <c r="P45" s="115"/>
      <c r="Q45" s="115"/>
      <c r="R45" s="390"/>
    </row>
    <row r="46" spans="2:18" ht="12.75">
      <c r="B46" s="531" t="s">
        <v>99</v>
      </c>
      <c r="C46" s="584">
        <v>0.3055555555555556</v>
      </c>
      <c r="D46" s="415"/>
      <c r="E46" s="531">
        <v>5</v>
      </c>
      <c r="F46" s="584">
        <v>0.6111111111111112</v>
      </c>
      <c r="G46" s="415"/>
      <c r="H46" s="531">
        <v>5</v>
      </c>
      <c r="I46" s="584">
        <v>0.7222222222222222</v>
      </c>
      <c r="J46" s="407"/>
      <c r="K46" s="531">
        <v>5</v>
      </c>
      <c r="L46" s="584">
        <v>0.5092592592592593</v>
      </c>
      <c r="M46" s="415"/>
      <c r="N46" s="486"/>
      <c r="P46" s="115"/>
      <c r="Q46" s="115"/>
      <c r="R46" s="390"/>
    </row>
    <row r="47" spans="2:18" ht="12.75">
      <c r="B47" s="531">
        <v>1</v>
      </c>
      <c r="C47" s="584">
        <v>0.16666666666666666</v>
      </c>
      <c r="D47" s="415"/>
      <c r="E47" s="531" t="s">
        <v>109</v>
      </c>
      <c r="F47" s="584">
        <v>0.537037037037037</v>
      </c>
      <c r="G47" s="415"/>
      <c r="H47" s="531" t="s">
        <v>109</v>
      </c>
      <c r="I47" s="584">
        <v>0.6522633744855967</v>
      </c>
      <c r="J47" s="407"/>
      <c r="K47" s="531" t="s">
        <v>94</v>
      </c>
      <c r="L47" s="584">
        <v>0.44753086419753085</v>
      </c>
      <c r="M47" s="415"/>
      <c r="N47" s="486"/>
      <c r="P47" s="115"/>
      <c r="Q47" s="115"/>
      <c r="R47" s="390"/>
    </row>
    <row r="48" spans="5:18" ht="12.75">
      <c r="E48" s="531">
        <v>4</v>
      </c>
      <c r="F48" s="584">
        <v>0.5185185185185185</v>
      </c>
      <c r="G48" s="415"/>
      <c r="H48" s="531">
        <v>4</v>
      </c>
      <c r="I48" s="584">
        <v>0.6111111111111112</v>
      </c>
      <c r="J48" s="407"/>
      <c r="K48" s="531">
        <v>4</v>
      </c>
      <c r="L48" s="584">
        <v>0.43209876543209874</v>
      </c>
      <c r="M48" s="415"/>
      <c r="N48" s="486"/>
      <c r="P48" s="115"/>
      <c r="Q48" s="115"/>
      <c r="R48" s="390"/>
    </row>
    <row r="49" spans="5:18" ht="12.75">
      <c r="E49" s="531">
        <v>3</v>
      </c>
      <c r="F49" s="584">
        <v>0.4444444444444444</v>
      </c>
      <c r="G49" s="415"/>
      <c r="H49" s="531" t="s">
        <v>110</v>
      </c>
      <c r="I49" s="584">
        <v>0.537037037037037</v>
      </c>
      <c r="J49" s="407"/>
      <c r="K49" s="531">
        <v>3</v>
      </c>
      <c r="L49" s="584">
        <v>0.37037037037037035</v>
      </c>
      <c r="M49" s="415"/>
      <c r="N49" s="486"/>
      <c r="P49" s="115"/>
      <c r="Q49" s="115"/>
      <c r="R49" s="390"/>
    </row>
    <row r="50" spans="5:18" ht="12.75">
      <c r="E50" s="531" t="s">
        <v>110</v>
      </c>
      <c r="F50" s="584">
        <v>0.43981481481481477</v>
      </c>
      <c r="G50" s="415"/>
      <c r="H50" s="531">
        <v>3</v>
      </c>
      <c r="I50" s="584">
        <v>0.5185185185185185</v>
      </c>
      <c r="J50" s="407"/>
      <c r="K50" s="531" t="s">
        <v>96</v>
      </c>
      <c r="L50" s="584">
        <v>0.3665123456790123</v>
      </c>
      <c r="M50" s="415"/>
      <c r="N50" s="486"/>
      <c r="P50" s="115"/>
      <c r="Q50" s="115"/>
      <c r="R50" s="390"/>
    </row>
    <row r="51" spans="5:18" ht="12.75">
      <c r="E51" s="531">
        <v>2</v>
      </c>
      <c r="F51" s="584">
        <v>0.38888888888888884</v>
      </c>
      <c r="G51" s="415"/>
      <c r="H51" s="531">
        <v>2</v>
      </c>
      <c r="I51" s="584">
        <v>0.4444444444444444</v>
      </c>
      <c r="J51" s="407"/>
      <c r="K51" s="531">
        <v>2</v>
      </c>
      <c r="L51" s="584">
        <v>0.32407407407407407</v>
      </c>
      <c r="M51" s="415"/>
      <c r="N51" s="486"/>
      <c r="P51" s="115"/>
      <c r="Q51" s="115"/>
      <c r="R51" s="390"/>
    </row>
    <row r="52" spans="5:18" ht="12.75">
      <c r="E52" s="531" t="s">
        <v>111</v>
      </c>
      <c r="F52" s="584">
        <v>0.3698559670781893</v>
      </c>
      <c r="G52" s="415"/>
      <c r="H52" s="531" t="s">
        <v>111</v>
      </c>
      <c r="I52" s="584">
        <v>0.43981481481481477</v>
      </c>
      <c r="J52" s="407"/>
      <c r="K52" s="531" t="s">
        <v>99</v>
      </c>
      <c r="L52" s="584">
        <v>0.3082133058984911</v>
      </c>
      <c r="M52" s="415"/>
      <c r="N52" s="486"/>
      <c r="P52" s="115"/>
      <c r="Q52" s="115"/>
      <c r="R52" s="390"/>
    </row>
    <row r="53" spans="5:18" ht="12.75">
      <c r="E53" s="531">
        <v>1</v>
      </c>
      <c r="F53" s="584">
        <v>0.35185185185185186</v>
      </c>
      <c r="G53" s="415"/>
      <c r="H53" s="531">
        <v>1</v>
      </c>
      <c r="I53" s="584">
        <v>0.38888888888888884</v>
      </c>
      <c r="J53" s="407"/>
      <c r="K53" s="531">
        <v>1</v>
      </c>
      <c r="L53" s="584">
        <v>0.2932098765432099</v>
      </c>
      <c r="M53" s="415"/>
      <c r="N53" s="486"/>
      <c r="O53" s="486"/>
      <c r="P53" s="115"/>
      <c r="Q53" s="115"/>
      <c r="R53" s="390"/>
    </row>
    <row r="54" spans="16:18" ht="12.75">
      <c r="P54" s="115"/>
      <c r="Q54" s="115"/>
      <c r="R54" s="390"/>
    </row>
    <row r="55" ht="13.5" thickBot="1"/>
    <row r="56" spans="1:26" ht="16.5" thickBot="1">
      <c r="A56" s="391"/>
      <c r="B56" s="416" t="s">
        <v>11</v>
      </c>
      <c r="C56" s="417" t="s">
        <v>17</v>
      </c>
      <c r="D56" s="418"/>
      <c r="E56" s="418"/>
      <c r="F56" s="418"/>
      <c r="G56" s="418"/>
      <c r="H56" s="419"/>
      <c r="I56" s="738" t="s">
        <v>124</v>
      </c>
      <c r="J56" s="722"/>
      <c r="K56" s="738" t="s">
        <v>119</v>
      </c>
      <c r="L56" s="732"/>
      <c r="M56" s="735" t="s">
        <v>59</v>
      </c>
      <c r="N56" s="737"/>
      <c r="O56" s="735" t="s">
        <v>115</v>
      </c>
      <c r="P56" s="726"/>
      <c r="Q56" s="699" t="s">
        <v>117</v>
      </c>
      <c r="R56" s="700"/>
      <c r="S56" s="701"/>
      <c r="T56" s="723" t="s">
        <v>127</v>
      </c>
      <c r="U56" s="724"/>
      <c r="V56" s="724"/>
      <c r="W56" s="724"/>
      <c r="X56" s="724"/>
      <c r="Y56" s="724"/>
      <c r="Z56" s="725"/>
    </row>
    <row r="57" spans="1:26" ht="13.5" thickBot="1">
      <c r="A57" s="389"/>
      <c r="B57" s="398"/>
      <c r="C57" s="398"/>
      <c r="D57" s="398"/>
      <c r="E57" s="398"/>
      <c r="F57" s="398"/>
      <c r="G57" s="398"/>
      <c r="H57" s="398"/>
      <c r="I57" s="452" t="s">
        <v>19</v>
      </c>
      <c r="J57" s="452" t="s">
        <v>20</v>
      </c>
      <c r="K57" s="351" t="s">
        <v>120</v>
      </c>
      <c r="L57" s="428" t="s">
        <v>121</v>
      </c>
      <c r="M57" s="476" t="s">
        <v>0</v>
      </c>
      <c r="N57" s="477" t="s">
        <v>116</v>
      </c>
      <c r="O57" s="463" t="s">
        <v>0</v>
      </c>
      <c r="P57" s="589" t="s">
        <v>116</v>
      </c>
      <c r="Q57" s="463" t="s">
        <v>118</v>
      </c>
      <c r="R57" s="594" t="s">
        <v>114</v>
      </c>
      <c r="S57" s="595" t="s">
        <v>116</v>
      </c>
      <c r="T57" s="596">
        <v>1</v>
      </c>
      <c r="U57" s="568">
        <v>2</v>
      </c>
      <c r="V57" s="568">
        <v>3</v>
      </c>
      <c r="W57" s="568">
        <v>4</v>
      </c>
      <c r="X57" s="568">
        <v>5</v>
      </c>
      <c r="Y57" s="568">
        <v>6</v>
      </c>
      <c r="Z57" s="569" t="s">
        <v>28</v>
      </c>
    </row>
    <row r="58" spans="1:26" ht="13.5" thickBot="1">
      <c r="A58" s="392"/>
      <c r="B58" s="421" t="s">
        <v>12</v>
      </c>
      <c r="C58" s="422"/>
      <c r="D58" s="422"/>
      <c r="E58" s="422"/>
      <c r="F58" s="422"/>
      <c r="G58" s="422"/>
      <c r="H58" s="423"/>
      <c r="I58" s="350">
        <f>SUM(I59:I90)</f>
        <v>0</v>
      </c>
      <c r="J58" s="350">
        <f>SUM(J59:J90)</f>
        <v>0</v>
      </c>
      <c r="K58" s="350"/>
      <c r="L58" s="350">
        <f>SUM(L59:L90)</f>
        <v>0</v>
      </c>
      <c r="M58" s="459">
        <f>SUM(M59:M90)</f>
        <v>30</v>
      </c>
      <c r="N58" s="466">
        <f>SUM(N59:N90)</f>
        <v>0</v>
      </c>
      <c r="O58" s="459">
        <f>SUM(O59:O90)</f>
        <v>40.35714285714285</v>
      </c>
      <c r="P58" s="459">
        <f>SUM(P59:P90)</f>
        <v>0</v>
      </c>
      <c r="Q58" s="459"/>
      <c r="R58" s="597"/>
      <c r="S58" s="501">
        <f>SUM(S59:S90)</f>
        <v>0</v>
      </c>
      <c r="T58" s="598"/>
      <c r="U58" s="599"/>
      <c r="V58" s="599"/>
      <c r="W58" s="599"/>
      <c r="X58" s="599"/>
      <c r="Y58" s="599"/>
      <c r="Z58" s="600"/>
    </row>
    <row r="59" spans="1:26" ht="15.75">
      <c r="A59" s="393">
        <v>1</v>
      </c>
      <c r="B59" s="424" t="s">
        <v>418</v>
      </c>
      <c r="C59" s="390"/>
      <c r="D59" s="390"/>
      <c r="I59" s="425"/>
      <c r="J59" s="408"/>
      <c r="K59" s="425"/>
      <c r="L59" s="425"/>
      <c r="M59" s="467"/>
      <c r="N59" s="467"/>
      <c r="O59" s="467"/>
      <c r="P59" s="467"/>
      <c r="Q59" s="467"/>
      <c r="R59" s="467"/>
      <c r="S59" s="468"/>
      <c r="T59" s="601"/>
      <c r="U59" s="602"/>
      <c r="V59" s="602"/>
      <c r="W59" s="602"/>
      <c r="X59" s="602"/>
      <c r="Y59" s="602"/>
      <c r="Z59" s="603"/>
    </row>
    <row r="60" spans="1:26" ht="15.75">
      <c r="A60" s="393"/>
      <c r="B60" s="426" t="s">
        <v>19</v>
      </c>
      <c r="C60" s="390"/>
      <c r="D60" s="390"/>
      <c r="I60" s="425"/>
      <c r="J60" s="408"/>
      <c r="K60" s="425"/>
      <c r="L60" s="425"/>
      <c r="M60" s="467"/>
      <c r="N60" s="467"/>
      <c r="O60" s="467"/>
      <c r="P60" s="467"/>
      <c r="Q60" s="467"/>
      <c r="R60" s="467"/>
      <c r="S60" s="468"/>
      <c r="T60" s="601"/>
      <c r="U60" s="602"/>
      <c r="V60" s="602"/>
      <c r="W60" s="602"/>
      <c r="X60" s="602"/>
      <c r="Y60" s="602"/>
      <c r="Z60" s="603"/>
    </row>
    <row r="61" spans="1:26" ht="15.75">
      <c r="A61" s="393"/>
      <c r="B61" s="426"/>
      <c r="C61" s="390" t="s">
        <v>113</v>
      </c>
      <c r="D61" s="390"/>
      <c r="I61" s="425">
        <f>'CUARTEL GENERAL'!H27+'CUARTEL GENERAL'!H40+'CUARTEL GENERAL'!H57+'CUARTEL GENERAL'!H73</f>
        <v>0</v>
      </c>
      <c r="J61" s="408"/>
      <c r="K61" s="425">
        <v>1</v>
      </c>
      <c r="L61" s="425">
        <f>K61*(I61+J61)</f>
        <v>0</v>
      </c>
      <c r="M61" s="467">
        <f>C20</f>
        <v>0.8333333333333333</v>
      </c>
      <c r="N61" s="467">
        <f aca="true" t="shared" si="0" ref="N61:N70">L61*M61</f>
        <v>0</v>
      </c>
      <c r="O61" s="467">
        <f>G23</f>
        <v>1.0714285714285714</v>
      </c>
      <c r="P61" s="467">
        <f aca="true" t="shared" si="1" ref="P61:P70">O61*L61</f>
        <v>0</v>
      </c>
      <c r="Q61" s="467">
        <f>K21</f>
        <v>0.5714285714285715</v>
      </c>
      <c r="R61" s="467">
        <v>0.8333333333333334</v>
      </c>
      <c r="S61" s="468">
        <f aca="true" t="shared" si="2" ref="S61:S70">L61*Q61*R61</f>
        <v>0</v>
      </c>
      <c r="T61" s="601"/>
      <c r="U61" s="602"/>
      <c r="V61" s="602"/>
      <c r="W61" s="602"/>
      <c r="X61" s="604">
        <f>S61</f>
        <v>0</v>
      </c>
      <c r="Y61" s="602"/>
      <c r="Z61" s="603"/>
    </row>
    <row r="62" spans="1:26" ht="15.75">
      <c r="A62" s="393"/>
      <c r="B62" s="426"/>
      <c r="C62" s="390" t="s">
        <v>411</v>
      </c>
      <c r="D62" s="390"/>
      <c r="I62" s="425">
        <f>'CUARTEL GENERAL'!E22+'CUARTEL GENERAL'!E23</f>
        <v>0</v>
      </c>
      <c r="J62" s="408"/>
      <c r="K62" s="425">
        <v>1</v>
      </c>
      <c r="L62" s="425">
        <f>K62*(I62+J62)</f>
        <v>0</v>
      </c>
      <c r="M62" s="467">
        <f>M61</f>
        <v>0.8333333333333333</v>
      </c>
      <c r="N62" s="467">
        <f t="shared" si="0"/>
        <v>0</v>
      </c>
      <c r="O62" s="467">
        <f>O61</f>
        <v>1.0714285714285714</v>
      </c>
      <c r="P62" s="467">
        <f t="shared" si="1"/>
        <v>0</v>
      </c>
      <c r="Q62" s="467">
        <f>Q61</f>
        <v>0.5714285714285715</v>
      </c>
      <c r="R62" s="467">
        <v>0.9444444444444444</v>
      </c>
      <c r="S62" s="468">
        <f t="shared" si="2"/>
        <v>0</v>
      </c>
      <c r="T62" s="601"/>
      <c r="U62" s="602"/>
      <c r="V62" s="602"/>
      <c r="W62" s="602"/>
      <c r="X62" s="604">
        <f>S62</f>
        <v>0</v>
      </c>
      <c r="Y62" s="602"/>
      <c r="Z62" s="603"/>
    </row>
    <row r="63" spans="1:26" ht="15.75">
      <c r="A63" s="393"/>
      <c r="B63" s="426"/>
      <c r="C63" s="390" t="s">
        <v>274</v>
      </c>
      <c r="D63" s="390"/>
      <c r="I63" s="425">
        <f>'CUARTEL GENERAL'!H32+'CUARTEL GENERAL'!H45+'CUARTEL GENERAL'!H62+'CUARTEL GENERAL'!H78+'CUARTEL GENERAL'!H36+'CUARTEL GENERAL'!H49+'CUARTEL GENERAL'!H66+'CUARTEL GENERAL'!H82</f>
        <v>0</v>
      </c>
      <c r="J63" s="408"/>
      <c r="K63" s="425">
        <v>1</v>
      </c>
      <c r="L63" s="425">
        <f>K63*(I63+J63)</f>
        <v>0</v>
      </c>
      <c r="M63" s="467">
        <f>C20</f>
        <v>0.8333333333333333</v>
      </c>
      <c r="N63" s="467">
        <f t="shared" si="0"/>
        <v>0</v>
      </c>
      <c r="O63" s="467">
        <f>G23</f>
        <v>1.0714285714285714</v>
      </c>
      <c r="P63" s="467">
        <f t="shared" si="1"/>
        <v>0</v>
      </c>
      <c r="Q63" s="467">
        <f>K18</f>
        <v>2.571428571428571</v>
      </c>
      <c r="R63" s="467">
        <v>0.8333333333333334</v>
      </c>
      <c r="S63" s="468">
        <f t="shared" si="2"/>
        <v>0</v>
      </c>
      <c r="T63" s="601"/>
      <c r="U63" s="604">
        <f>S63</f>
        <v>0</v>
      </c>
      <c r="V63" s="602"/>
      <c r="W63" s="602"/>
      <c r="X63" s="604"/>
      <c r="Y63" s="602"/>
      <c r="Z63" s="603"/>
    </row>
    <row r="64" spans="1:26" ht="15.75">
      <c r="A64" s="393"/>
      <c r="B64" s="426"/>
      <c r="C64" s="390" t="s">
        <v>416</v>
      </c>
      <c r="D64" s="390"/>
      <c r="I64" s="425">
        <f>'CUARTEL GENERAL'!H31+'CUARTEL GENERAL'!H44+'CUARTEL GENERAL'!H61+'CUARTEL GENERAL'!H77</f>
        <v>0</v>
      </c>
      <c r="J64" s="408"/>
      <c r="K64" s="425">
        <v>1.5</v>
      </c>
      <c r="L64" s="425">
        <f>K64*(I64+J64)</f>
        <v>0</v>
      </c>
      <c r="M64" s="467">
        <f>C19</f>
        <v>1.25</v>
      </c>
      <c r="N64" s="467">
        <f t="shared" si="0"/>
        <v>0</v>
      </c>
      <c r="O64" s="467">
        <f>G22</f>
        <v>1.4285714285714284</v>
      </c>
      <c r="P64" s="467">
        <f t="shared" si="1"/>
        <v>0</v>
      </c>
      <c r="Q64" s="467">
        <f>K21</f>
        <v>0.5714285714285715</v>
      </c>
      <c r="R64" s="467">
        <v>0.8333333333333334</v>
      </c>
      <c r="S64" s="468">
        <f t="shared" si="2"/>
        <v>0</v>
      </c>
      <c r="T64" s="601"/>
      <c r="U64" s="604"/>
      <c r="V64" s="602"/>
      <c r="W64" s="602"/>
      <c r="X64" s="604">
        <f>S64</f>
        <v>0</v>
      </c>
      <c r="Y64" s="602"/>
      <c r="Z64" s="603"/>
    </row>
    <row r="65" spans="1:26" ht="15.75">
      <c r="A65" s="393"/>
      <c r="B65" s="426"/>
      <c r="C65" s="390" t="s">
        <v>417</v>
      </c>
      <c r="D65" s="390"/>
      <c r="I65" s="425">
        <f>'CUARTEL GENERAL'!H51+'CUARTEL GENERAL'!H67+'CUARTEL GENERAL'!H84+'CUARTEL GENERAL'!H55+'CUARTEL GENERAL'!H71+'CUARTEL GENERAL'!H88</f>
        <v>0</v>
      </c>
      <c r="J65" s="408"/>
      <c r="K65" s="425">
        <v>1.5</v>
      </c>
      <c r="L65" s="425">
        <f>L64</f>
        <v>0</v>
      </c>
      <c r="M65" s="467">
        <f>C19</f>
        <v>1.25</v>
      </c>
      <c r="N65" s="467">
        <f t="shared" si="0"/>
        <v>0</v>
      </c>
      <c r="O65" s="467">
        <f>G21</f>
        <v>1.7857142857142858</v>
      </c>
      <c r="P65" s="467">
        <f t="shared" si="1"/>
        <v>0</v>
      </c>
      <c r="Q65" s="467">
        <f>K21</f>
        <v>0.5714285714285715</v>
      </c>
      <c r="R65" s="467">
        <v>0.9444444444444444</v>
      </c>
      <c r="S65" s="468">
        <f t="shared" si="2"/>
        <v>0</v>
      </c>
      <c r="T65" s="601"/>
      <c r="U65" s="604"/>
      <c r="V65" s="602"/>
      <c r="W65" s="602"/>
      <c r="X65" s="604">
        <f>S65</f>
        <v>0</v>
      </c>
      <c r="Y65" s="602"/>
      <c r="Z65" s="603"/>
    </row>
    <row r="66" spans="1:26" ht="15.75">
      <c r="A66" s="393"/>
      <c r="B66" s="426"/>
      <c r="C66" s="390" t="s">
        <v>122</v>
      </c>
      <c r="D66" s="390"/>
      <c r="I66" s="425">
        <f>'CUARTEL GENERAL'!E12+'CUARTEL GENERAL'!H28+'CUARTEL GENERAL'!H33+'CUARTEL GENERAL'!H41+'CUARTEL GENERAL'!H46+'CUARTEL GENERAL'!H50+'CUARTEL GENERAL'!H52+'CUARTEL GENERAL'!H58+'CUARTEL GENERAL'!H63+'CUARTEL GENERAL'!H68+'CUARTEL GENERAL'!H74+'CUARTEL GENERAL'!H79+'CUARTEL GENERAL'!H83+'CUARTEL GENERAL'!H85</f>
        <v>0</v>
      </c>
      <c r="J66" s="408"/>
      <c r="K66" s="425">
        <v>2</v>
      </c>
      <c r="L66" s="425">
        <f>K66*(I66+J66)</f>
        <v>0</v>
      </c>
      <c r="M66" s="467">
        <f>C18</f>
        <v>1.6666666666666665</v>
      </c>
      <c r="N66" s="467">
        <f t="shared" si="0"/>
        <v>0</v>
      </c>
      <c r="O66" s="467">
        <f>G21</f>
        <v>1.7857142857142858</v>
      </c>
      <c r="P66" s="467">
        <f t="shared" si="1"/>
        <v>0</v>
      </c>
      <c r="Q66" s="467">
        <f>K21</f>
        <v>0.5714285714285715</v>
      </c>
      <c r="R66" s="467">
        <v>0.8333333333333334</v>
      </c>
      <c r="S66" s="468">
        <f t="shared" si="2"/>
        <v>0</v>
      </c>
      <c r="T66" s="601"/>
      <c r="U66" s="602"/>
      <c r="V66" s="602"/>
      <c r="W66" s="602"/>
      <c r="X66" s="604">
        <f>S66</f>
        <v>0</v>
      </c>
      <c r="Y66" s="602"/>
      <c r="Z66" s="603"/>
    </row>
    <row r="67" spans="1:26" ht="15.75">
      <c r="A67" s="393"/>
      <c r="B67" s="426"/>
      <c r="C67" s="390" t="s">
        <v>412</v>
      </c>
      <c r="D67" s="390"/>
      <c r="I67" s="425">
        <f>'CUARTEL GENERAL'!H29+'CUARTEL GENERAL'!H34+'CUARTEL GENERAL'!H42+'CUARTEL GENERAL'!H47+'CUARTEL GENERAL'!H53+'CUARTEL GENERAL'!H59+'CUARTEL GENERAL'!H64+'CUARTEL GENERAL'!H69+'CUARTEL GENERAL'!H75+'CUARTEL GENERAL'!H80+'CUARTEL GENERAL'!H86</f>
        <v>0</v>
      </c>
      <c r="J67" s="408"/>
      <c r="K67" s="425">
        <v>1.5</v>
      </c>
      <c r="L67" s="425">
        <f>K67*(I67+J67)</f>
        <v>0</v>
      </c>
      <c r="M67" s="467">
        <f>C19</f>
        <v>1.25</v>
      </c>
      <c r="N67" s="467">
        <f t="shared" si="0"/>
        <v>0</v>
      </c>
      <c r="O67" s="467">
        <f>G22</f>
        <v>1.4285714285714284</v>
      </c>
      <c r="P67" s="467">
        <f t="shared" si="1"/>
        <v>0</v>
      </c>
      <c r="Q67" s="467">
        <f>K18</f>
        <v>2.571428571428571</v>
      </c>
      <c r="R67" s="467">
        <v>0.8333333333333334</v>
      </c>
      <c r="S67" s="468">
        <f t="shared" si="2"/>
        <v>0</v>
      </c>
      <c r="T67" s="601"/>
      <c r="U67" s="604">
        <f>S67</f>
        <v>0</v>
      </c>
      <c r="V67" s="602"/>
      <c r="W67" s="602"/>
      <c r="X67" s="604"/>
      <c r="Y67" s="602"/>
      <c r="Z67" s="603"/>
    </row>
    <row r="68" spans="1:26" ht="15.75">
      <c r="A68" s="393"/>
      <c r="B68" s="426"/>
      <c r="C68" s="390" t="s">
        <v>413</v>
      </c>
      <c r="D68" s="390"/>
      <c r="I68" s="425">
        <f>'CUARTEL GENERAL'!E5+'CUARTEL GENERAL'!E6</f>
        <v>0</v>
      </c>
      <c r="J68" s="408"/>
      <c r="K68" s="425">
        <v>1.5</v>
      </c>
      <c r="L68" s="425">
        <f>K68*(I68+J68)</f>
        <v>0</v>
      </c>
      <c r="M68" s="425">
        <f>M67</f>
        <v>1.25</v>
      </c>
      <c r="N68" s="467">
        <f t="shared" si="0"/>
        <v>0</v>
      </c>
      <c r="O68" s="468">
        <f>O67</f>
        <v>1.4285714285714284</v>
      </c>
      <c r="P68" s="467">
        <f t="shared" si="1"/>
        <v>0</v>
      </c>
      <c r="Q68" s="468">
        <f>Q67</f>
        <v>2.571428571428571</v>
      </c>
      <c r="R68" s="467">
        <v>0.9444444444444444</v>
      </c>
      <c r="S68" s="468">
        <f t="shared" si="2"/>
        <v>0</v>
      </c>
      <c r="T68" s="601"/>
      <c r="U68" s="604">
        <f>S68</f>
        <v>0</v>
      </c>
      <c r="V68" s="602"/>
      <c r="W68" s="602"/>
      <c r="X68" s="604"/>
      <c r="Y68" s="602"/>
      <c r="Z68" s="603"/>
    </row>
    <row r="69" spans="1:26" ht="15.75">
      <c r="A69" s="393"/>
      <c r="B69" s="426"/>
      <c r="C69" s="390" t="s">
        <v>414</v>
      </c>
      <c r="D69" s="390"/>
      <c r="I69" s="425">
        <f>'CUARTEL GENERAL'!H30+'CUARTEL GENERAL'!H35+'CUARTEL GENERAL'!H43+'CUARTEL GENERAL'!H48+'CUARTEL GENERAL'!H54+'CUARTEL GENERAL'!H60+'CUARTEL GENERAL'!H65+'CUARTEL GENERAL'!H70+'CUARTEL GENERAL'!H76+'CUARTEL GENERAL'!H81+'CUARTEL GENERAL'!H87</f>
        <v>0</v>
      </c>
      <c r="J69" s="408"/>
      <c r="K69" s="425">
        <v>1</v>
      </c>
      <c r="L69" s="425">
        <f>K69*(I69+J69)</f>
        <v>0</v>
      </c>
      <c r="M69" s="468">
        <f>C20</f>
        <v>0.8333333333333333</v>
      </c>
      <c r="N69" s="467">
        <f t="shared" si="0"/>
        <v>0</v>
      </c>
      <c r="O69" s="468">
        <f>G23</f>
        <v>1.0714285714285714</v>
      </c>
      <c r="P69" s="467">
        <f t="shared" si="1"/>
        <v>0</v>
      </c>
      <c r="Q69" s="468">
        <f>K17</f>
        <v>3.4285714285714284</v>
      </c>
      <c r="R69" s="467">
        <v>0.8333333333333334</v>
      </c>
      <c r="S69" s="468">
        <f t="shared" si="2"/>
        <v>0</v>
      </c>
      <c r="T69" s="604">
        <f>S69</f>
        <v>0</v>
      </c>
      <c r="U69" s="604"/>
      <c r="V69" s="602"/>
      <c r="W69" s="602"/>
      <c r="Y69" s="602"/>
      <c r="Z69" s="603"/>
    </row>
    <row r="70" spans="1:26" ht="15.75">
      <c r="A70" s="393"/>
      <c r="B70" s="426"/>
      <c r="C70" s="390" t="s">
        <v>415</v>
      </c>
      <c r="D70" s="390"/>
      <c r="I70" s="425"/>
      <c r="J70" s="408"/>
      <c r="K70" s="425">
        <v>1</v>
      </c>
      <c r="L70" s="425">
        <f>K70*(I70+J70)</f>
        <v>0</v>
      </c>
      <c r="M70" s="468" t="str">
        <f>C21</f>
        <v>0.5</v>
      </c>
      <c r="N70" s="467">
        <f t="shared" si="0"/>
        <v>0</v>
      </c>
      <c r="O70" s="468">
        <f>G26</f>
        <v>0.5</v>
      </c>
      <c r="P70" s="467">
        <f t="shared" si="1"/>
        <v>0</v>
      </c>
      <c r="Q70" s="468">
        <f>K21</f>
        <v>0.5714285714285715</v>
      </c>
      <c r="R70" s="467">
        <v>1</v>
      </c>
      <c r="S70" s="468">
        <f t="shared" si="2"/>
        <v>0</v>
      </c>
      <c r="T70" s="601"/>
      <c r="U70" s="604"/>
      <c r="V70" s="602"/>
      <c r="W70" s="602"/>
      <c r="X70" s="605">
        <f>S70</f>
        <v>0</v>
      </c>
      <c r="Y70" s="602"/>
      <c r="Z70" s="603"/>
    </row>
    <row r="71" spans="1:26" ht="15.75">
      <c r="A71" s="393"/>
      <c r="B71" s="426" t="s">
        <v>419</v>
      </c>
      <c r="C71" s="390"/>
      <c r="D71" s="390"/>
      <c r="I71" s="425"/>
      <c r="J71" s="408"/>
      <c r="K71" s="425"/>
      <c r="L71" s="425"/>
      <c r="M71" s="468"/>
      <c r="N71" s="467"/>
      <c r="O71" s="468"/>
      <c r="P71" s="467"/>
      <c r="Q71" s="468"/>
      <c r="R71" s="467"/>
      <c r="S71" s="468"/>
      <c r="T71" s="601"/>
      <c r="U71" s="604"/>
      <c r="V71" s="602"/>
      <c r="W71" s="602"/>
      <c r="X71" s="605"/>
      <c r="Y71" s="602"/>
      <c r="Z71" s="603"/>
    </row>
    <row r="72" spans="1:26" ht="15.75">
      <c r="A72" s="393"/>
      <c r="B72" s="426"/>
      <c r="C72" s="390" t="s">
        <v>113</v>
      </c>
      <c r="D72" s="390"/>
      <c r="I72" s="425">
        <f>'CUARTEL GENERAL'!I27+'CUARTEL GENERAL'!I40+'CUARTEL GENERAL'!I57+'CUARTEL GENERAL'!I73</f>
        <v>0</v>
      </c>
      <c r="J72" s="408"/>
      <c r="K72" s="425">
        <v>1</v>
      </c>
      <c r="L72" s="425">
        <f aca="true" t="shared" si="3" ref="L72:L78">K72*(I72+J72)</f>
        <v>0</v>
      </c>
      <c r="M72" s="467">
        <f>M61</f>
        <v>0.8333333333333333</v>
      </c>
      <c r="N72" s="467">
        <f aca="true" t="shared" si="4" ref="N72:N78">L72*M72</f>
        <v>0</v>
      </c>
      <c r="O72" s="467">
        <f>G22</f>
        <v>1.4285714285714284</v>
      </c>
      <c r="P72" s="467">
        <f aca="true" t="shared" si="5" ref="P72:P78">O72*L72</f>
        <v>0</v>
      </c>
      <c r="Q72" s="467">
        <f>Q61</f>
        <v>0.5714285714285715</v>
      </c>
      <c r="R72" s="467">
        <v>0.8333333333333334</v>
      </c>
      <c r="S72" s="468">
        <f aca="true" t="shared" si="6" ref="S72:S78">L72*Q72*R72</f>
        <v>0</v>
      </c>
      <c r="T72" s="601"/>
      <c r="U72" s="602"/>
      <c r="V72" s="602"/>
      <c r="W72" s="602"/>
      <c r="X72" s="604">
        <f>S72</f>
        <v>0</v>
      </c>
      <c r="Y72" s="602"/>
      <c r="Z72" s="603"/>
    </row>
    <row r="73" spans="1:26" ht="15.75">
      <c r="A73" s="393"/>
      <c r="B73" s="426"/>
      <c r="C73" s="390" t="s">
        <v>274</v>
      </c>
      <c r="D73" s="390"/>
      <c r="I73" s="425">
        <f>'CUARTEL GENERAL'!I32+'CUARTEL GENERAL'!I33+'CUARTEL GENERAL'!I36+'CUARTEL GENERAL'!I45+'CUARTEL GENERAL'!I46+'CUARTEL GENERAL'!I49+'CUARTEL GENERAL'!I62+'CUARTEL GENERAL'!I63+'CUARTEL GENERAL'!I66+'CUARTEL GENERAL'!I78+'CUARTEL GENERAL'!I79+'CUARTEL GENERAL'!I82</f>
        <v>0</v>
      </c>
      <c r="J73" s="408"/>
      <c r="K73" s="425">
        <v>1</v>
      </c>
      <c r="L73" s="425">
        <f t="shared" si="3"/>
        <v>0</v>
      </c>
      <c r="M73" s="467">
        <f>M63</f>
        <v>0.8333333333333333</v>
      </c>
      <c r="N73" s="467">
        <f t="shared" si="4"/>
        <v>0</v>
      </c>
      <c r="O73" s="467">
        <f>G22</f>
        <v>1.4285714285714284</v>
      </c>
      <c r="P73" s="467">
        <f t="shared" si="5"/>
        <v>0</v>
      </c>
      <c r="Q73" s="467">
        <f>Q63</f>
        <v>2.571428571428571</v>
      </c>
      <c r="R73" s="467">
        <v>0.8333333333333334</v>
      </c>
      <c r="S73" s="468">
        <f t="shared" si="6"/>
        <v>0</v>
      </c>
      <c r="T73" s="601"/>
      <c r="U73" s="604">
        <f>S73</f>
        <v>0</v>
      </c>
      <c r="V73" s="602"/>
      <c r="W73" s="602"/>
      <c r="X73" s="604"/>
      <c r="Y73" s="602"/>
      <c r="Z73" s="603"/>
    </row>
    <row r="74" spans="1:26" ht="15.75">
      <c r="A74" s="393"/>
      <c r="B74" s="426"/>
      <c r="C74" s="390" t="s">
        <v>416</v>
      </c>
      <c r="D74" s="390"/>
      <c r="I74" s="425">
        <f>'CUARTEL GENERAL'!I31+'CUARTEL GENERAL'!I44+'CUARTEL GENERAL'!I61+'CUARTEL GENERAL'!I77</f>
        <v>0</v>
      </c>
      <c r="J74" s="408"/>
      <c r="K74" s="425">
        <v>1.5</v>
      </c>
      <c r="L74" s="425">
        <f t="shared" si="3"/>
        <v>0</v>
      </c>
      <c r="M74" s="467">
        <f>M64</f>
        <v>1.25</v>
      </c>
      <c r="N74" s="467">
        <f t="shared" si="4"/>
        <v>0</v>
      </c>
      <c r="O74" s="467">
        <f>G21</f>
        <v>1.7857142857142858</v>
      </c>
      <c r="P74" s="467">
        <f t="shared" si="5"/>
        <v>0</v>
      </c>
      <c r="Q74" s="467">
        <f>Q64</f>
        <v>0.5714285714285715</v>
      </c>
      <c r="R74" s="467">
        <v>0.8333333333333334</v>
      </c>
      <c r="S74" s="468">
        <f t="shared" si="6"/>
        <v>0</v>
      </c>
      <c r="T74" s="601"/>
      <c r="U74" s="604"/>
      <c r="V74" s="602"/>
      <c r="W74" s="602"/>
      <c r="X74" s="604">
        <f>S74</f>
        <v>0</v>
      </c>
      <c r="Y74" s="602"/>
      <c r="Z74" s="603"/>
    </row>
    <row r="75" spans="1:26" ht="15.75">
      <c r="A75" s="393"/>
      <c r="B75" s="426"/>
      <c r="C75" s="390" t="s">
        <v>122</v>
      </c>
      <c r="D75" s="390"/>
      <c r="I75" s="425">
        <f>'CUARTEL GENERAL'!I28+'CUARTEL GENERAL'!I41+'CUARTEL GENERAL'!I58+'CUARTEL GENERAL'!I74</f>
        <v>0</v>
      </c>
      <c r="J75" s="408"/>
      <c r="K75" s="425">
        <v>2</v>
      </c>
      <c r="L75" s="425">
        <f t="shared" si="3"/>
        <v>0</v>
      </c>
      <c r="M75" s="467">
        <f>M66</f>
        <v>1.6666666666666665</v>
      </c>
      <c r="N75" s="467">
        <f t="shared" si="4"/>
        <v>0</v>
      </c>
      <c r="O75" s="467">
        <f>G20</f>
        <v>2.142857142857143</v>
      </c>
      <c r="P75" s="467">
        <f t="shared" si="5"/>
        <v>0</v>
      </c>
      <c r="Q75" s="467">
        <f>Q66</f>
        <v>0.5714285714285715</v>
      </c>
      <c r="R75" s="467">
        <v>0.8333333333333334</v>
      </c>
      <c r="S75" s="468">
        <f t="shared" si="6"/>
        <v>0</v>
      </c>
      <c r="T75" s="601"/>
      <c r="U75" s="602"/>
      <c r="V75" s="602"/>
      <c r="W75" s="602"/>
      <c r="X75" s="604">
        <f>S75</f>
        <v>0</v>
      </c>
      <c r="Y75" s="602"/>
      <c r="Z75" s="603"/>
    </row>
    <row r="76" spans="1:26" ht="15.75">
      <c r="A76" s="393"/>
      <c r="B76" s="426"/>
      <c r="C76" s="390" t="s">
        <v>412</v>
      </c>
      <c r="D76" s="390"/>
      <c r="I76" s="425">
        <f>'CUARTEL GENERAL'!I29+'CUARTEL GENERAL'!I34+'CUARTEL GENERAL'!I42+'CUARTEL GENERAL'!I47+'CUARTEL GENERAL'!I59+'CUARTEL GENERAL'!I64+'CUARTEL GENERAL'!I75+'CUARTEL GENERAL'!I80</f>
        <v>0</v>
      </c>
      <c r="J76" s="408"/>
      <c r="K76" s="425">
        <v>1.5</v>
      </c>
      <c r="L76" s="425">
        <f t="shared" si="3"/>
        <v>0</v>
      </c>
      <c r="M76" s="467">
        <f>M67</f>
        <v>1.25</v>
      </c>
      <c r="N76" s="467">
        <f t="shared" si="4"/>
        <v>0</v>
      </c>
      <c r="O76" s="467">
        <f>G21</f>
        <v>1.7857142857142858</v>
      </c>
      <c r="P76" s="467">
        <f t="shared" si="5"/>
        <v>0</v>
      </c>
      <c r="Q76" s="467">
        <f>Q67</f>
        <v>2.571428571428571</v>
      </c>
      <c r="R76" s="467">
        <v>0.8333333333333334</v>
      </c>
      <c r="S76" s="468">
        <f t="shared" si="6"/>
        <v>0</v>
      </c>
      <c r="T76" s="601"/>
      <c r="U76" s="604">
        <f>S76</f>
        <v>0</v>
      </c>
      <c r="V76" s="602"/>
      <c r="W76" s="602"/>
      <c r="X76" s="604"/>
      <c r="Y76" s="602"/>
      <c r="Z76" s="603"/>
    </row>
    <row r="77" spans="1:26" ht="15.75">
      <c r="A77" s="393"/>
      <c r="B77" s="426"/>
      <c r="C77" s="390" t="s">
        <v>414</v>
      </c>
      <c r="D77" s="390"/>
      <c r="I77" s="425">
        <f>'CUARTEL GENERAL'!I30+'CUARTEL GENERAL'!I35+'CUARTEL GENERAL'!I43+'CUARTEL GENERAL'!I48+'CUARTEL GENERAL'!I60+'CUARTEL GENERAL'!I65+'CUARTEL GENERAL'!I76+'CUARTEL GENERAL'!I81</f>
        <v>0</v>
      </c>
      <c r="J77" s="408"/>
      <c r="K77" s="425">
        <v>1</v>
      </c>
      <c r="L77" s="425">
        <f t="shared" si="3"/>
        <v>0</v>
      </c>
      <c r="M77" s="467">
        <f>M69</f>
        <v>0.8333333333333333</v>
      </c>
      <c r="N77" s="467">
        <f t="shared" si="4"/>
        <v>0</v>
      </c>
      <c r="O77" s="467">
        <f>G21</f>
        <v>1.7857142857142858</v>
      </c>
      <c r="P77" s="467">
        <f t="shared" si="5"/>
        <v>0</v>
      </c>
      <c r="Q77" s="467">
        <f>Q69</f>
        <v>3.4285714285714284</v>
      </c>
      <c r="R77" s="467">
        <v>0.8333333333333334</v>
      </c>
      <c r="S77" s="468">
        <f t="shared" si="6"/>
        <v>0</v>
      </c>
      <c r="T77" s="604">
        <f>S77</f>
        <v>0</v>
      </c>
      <c r="U77" s="604"/>
      <c r="V77" s="602"/>
      <c r="W77" s="602"/>
      <c r="Y77" s="602"/>
      <c r="Z77" s="603"/>
    </row>
    <row r="78" spans="1:26" ht="15.75">
      <c r="A78" s="393"/>
      <c r="B78" s="426"/>
      <c r="C78" s="390" t="s">
        <v>415</v>
      </c>
      <c r="D78" s="390"/>
      <c r="I78" s="425"/>
      <c r="J78" s="408"/>
      <c r="K78" s="425">
        <v>1</v>
      </c>
      <c r="L78" s="425">
        <f t="shared" si="3"/>
        <v>0</v>
      </c>
      <c r="M78" s="467" t="str">
        <f>M70</f>
        <v>0.5</v>
      </c>
      <c r="N78" s="467">
        <f t="shared" si="4"/>
        <v>0</v>
      </c>
      <c r="O78" s="467">
        <f>G24</f>
        <v>1</v>
      </c>
      <c r="P78" s="467">
        <f t="shared" si="5"/>
        <v>0</v>
      </c>
      <c r="Q78" s="467">
        <f>Q70</f>
        <v>0.5714285714285715</v>
      </c>
      <c r="R78" s="467">
        <v>1</v>
      </c>
      <c r="S78" s="468">
        <f t="shared" si="6"/>
        <v>0</v>
      </c>
      <c r="T78" s="601"/>
      <c r="U78" s="604"/>
      <c r="V78" s="602"/>
      <c r="W78" s="602"/>
      <c r="X78" s="605">
        <f>S78</f>
        <v>0</v>
      </c>
      <c r="Y78" s="602"/>
      <c r="Z78" s="603"/>
    </row>
    <row r="79" spans="1:26" ht="15.75">
      <c r="A79" s="393"/>
      <c r="B79" s="426" t="s">
        <v>421</v>
      </c>
      <c r="C79" s="390"/>
      <c r="D79" s="390"/>
      <c r="I79" s="425"/>
      <c r="J79" s="408"/>
      <c r="K79" s="425"/>
      <c r="L79" s="425"/>
      <c r="M79" s="467"/>
      <c r="N79" s="467"/>
      <c r="O79" s="467"/>
      <c r="P79" s="467"/>
      <c r="Q79" s="467"/>
      <c r="R79" s="467"/>
      <c r="S79" s="468"/>
      <c r="T79" s="601"/>
      <c r="U79" s="604"/>
      <c r="V79" s="602"/>
      <c r="W79" s="602"/>
      <c r="X79" s="605"/>
      <c r="Y79" s="602"/>
      <c r="Z79" s="603"/>
    </row>
    <row r="80" spans="1:26" ht="15.75">
      <c r="A80" s="393"/>
      <c r="B80" s="426"/>
      <c r="C80" s="390" t="s">
        <v>122</v>
      </c>
      <c r="D80" s="390"/>
      <c r="I80" s="425"/>
      <c r="J80" s="408"/>
      <c r="K80" s="425">
        <v>2</v>
      </c>
      <c r="L80" s="425">
        <f>K80*(I80+J80)</f>
        <v>0</v>
      </c>
      <c r="M80" s="467">
        <f>C18</f>
        <v>1.6666666666666665</v>
      </c>
      <c r="N80" s="467">
        <f>L80*M80</f>
        <v>0</v>
      </c>
      <c r="O80" s="467">
        <f>G20</f>
        <v>2.142857142857143</v>
      </c>
      <c r="P80" s="467">
        <f>O80*L80</f>
        <v>0</v>
      </c>
      <c r="Q80" s="467">
        <f>K21</f>
        <v>0.5714285714285715</v>
      </c>
      <c r="R80" s="467">
        <v>0.9444444444444444</v>
      </c>
      <c r="S80" s="468">
        <f>L80*Q80*R80</f>
        <v>0</v>
      </c>
      <c r="T80" s="601"/>
      <c r="U80" s="604"/>
      <c r="V80" s="602"/>
      <c r="W80" s="602"/>
      <c r="X80" s="605">
        <f>S80</f>
        <v>0</v>
      </c>
      <c r="Y80" s="602"/>
      <c r="Z80" s="603"/>
    </row>
    <row r="81" spans="1:26" ht="15.75">
      <c r="A81" s="393"/>
      <c r="B81" s="426"/>
      <c r="C81" s="390" t="s">
        <v>294</v>
      </c>
      <c r="D81" s="390"/>
      <c r="I81" s="425"/>
      <c r="J81" s="408">
        <f>'CUARTEL GENERAL'!E17</f>
        <v>0</v>
      </c>
      <c r="K81" s="425">
        <v>1</v>
      </c>
      <c r="L81" s="425">
        <f>K81*(I81+J81)</f>
        <v>0</v>
      </c>
      <c r="M81" s="467">
        <f>C16</f>
        <v>2.5</v>
      </c>
      <c r="N81" s="467">
        <f>L81*M81</f>
        <v>0</v>
      </c>
      <c r="O81" s="467">
        <f>G18</f>
        <v>2.8571428571428568</v>
      </c>
      <c r="P81" s="467">
        <f>O81*L81</f>
        <v>0</v>
      </c>
      <c r="Q81" s="467">
        <f>K18</f>
        <v>2.571428571428571</v>
      </c>
      <c r="R81" s="467">
        <v>0.5092592592592593</v>
      </c>
      <c r="S81" s="468">
        <f>L81*Q81*R81</f>
        <v>0</v>
      </c>
      <c r="T81" s="601"/>
      <c r="U81" s="604">
        <f>S81</f>
        <v>0</v>
      </c>
      <c r="V81" s="602"/>
      <c r="W81" s="602"/>
      <c r="X81" s="605"/>
      <c r="Y81" s="602"/>
      <c r="Z81" s="603"/>
    </row>
    <row r="82" spans="1:26" ht="15.75">
      <c r="A82" s="393"/>
      <c r="B82" s="426"/>
      <c r="C82" s="390" t="s">
        <v>422</v>
      </c>
      <c r="D82" s="390"/>
      <c r="I82" s="425"/>
      <c r="J82" s="408">
        <f>'CUARTEL GENERAL'!E18</f>
        <v>0</v>
      </c>
      <c r="K82" s="425">
        <v>4</v>
      </c>
      <c r="L82" s="425">
        <f>K82*(I82+J82)</f>
        <v>0</v>
      </c>
      <c r="M82" s="467">
        <f>C18</f>
        <v>1.6666666666666665</v>
      </c>
      <c r="N82" s="467">
        <f>L82*M82</f>
        <v>0</v>
      </c>
      <c r="O82" s="467">
        <f>G21</f>
        <v>1.7857142857142858</v>
      </c>
      <c r="P82" s="467">
        <f>O82*L82</f>
        <v>0</v>
      </c>
      <c r="Q82" s="467">
        <f>O19</f>
        <v>1.7142857142857142</v>
      </c>
      <c r="R82" s="467">
        <v>0.9444444444444444</v>
      </c>
      <c r="S82" s="468">
        <f>L82*Q82*R82</f>
        <v>0</v>
      </c>
      <c r="T82" s="601"/>
      <c r="U82" s="604">
        <f>S82*1/6</f>
        <v>0</v>
      </c>
      <c r="V82" s="602"/>
      <c r="W82" s="605">
        <f>S82*5/6</f>
        <v>0</v>
      </c>
      <c r="X82" s="605"/>
      <c r="Y82" s="602"/>
      <c r="Z82" s="603"/>
    </row>
    <row r="83" spans="1:26" ht="15.75">
      <c r="A83" s="393"/>
      <c r="B83" s="426"/>
      <c r="C83" s="390" t="s">
        <v>296</v>
      </c>
      <c r="D83" s="390"/>
      <c r="I83" s="425"/>
      <c r="J83" s="408">
        <f>'CUARTEL GENERAL'!E18</f>
        <v>0</v>
      </c>
      <c r="K83" s="425">
        <v>3</v>
      </c>
      <c r="L83" s="425">
        <f>K83*(I83+J83)</f>
        <v>0</v>
      </c>
      <c r="M83" s="467">
        <f>C16</f>
        <v>2.5</v>
      </c>
      <c r="N83" s="467">
        <f>L83*M83</f>
        <v>0</v>
      </c>
      <c r="O83" s="467">
        <f>G19</f>
        <v>2.5</v>
      </c>
      <c r="P83" s="467">
        <f>O83*L83</f>
        <v>0</v>
      </c>
      <c r="Q83" s="467">
        <f>K20</f>
        <v>1.142857142857143</v>
      </c>
      <c r="R83" s="467">
        <v>0.9444444444444444</v>
      </c>
      <c r="S83" s="468">
        <f>L83*Q83*R83</f>
        <v>0</v>
      </c>
      <c r="T83" s="601"/>
      <c r="U83" s="604"/>
      <c r="V83" s="602"/>
      <c r="W83" s="604">
        <f>S83</f>
        <v>0</v>
      </c>
      <c r="X83" s="605"/>
      <c r="Y83" s="602"/>
      <c r="Z83" s="603"/>
    </row>
    <row r="84" spans="1:26" ht="15.75">
      <c r="A84" s="393">
        <v>2</v>
      </c>
      <c r="B84" s="424" t="s">
        <v>420</v>
      </c>
      <c r="C84" s="390"/>
      <c r="D84" s="390"/>
      <c r="I84" s="425"/>
      <c r="J84" s="408"/>
      <c r="K84" s="425"/>
      <c r="L84" s="425"/>
      <c r="M84" s="467"/>
      <c r="N84" s="467"/>
      <c r="O84" s="467"/>
      <c r="P84" s="467"/>
      <c r="Q84" s="467"/>
      <c r="R84" s="467"/>
      <c r="S84" s="468"/>
      <c r="T84" s="601"/>
      <c r="U84" s="602"/>
      <c r="V84" s="602"/>
      <c r="W84" s="602"/>
      <c r="X84" s="602"/>
      <c r="Y84" s="602"/>
      <c r="Z84" s="603"/>
    </row>
    <row r="85" spans="1:26" ht="15.75">
      <c r="A85" s="393"/>
      <c r="B85" s="424"/>
      <c r="C85" s="390" t="s">
        <v>113</v>
      </c>
      <c r="D85" s="390"/>
      <c r="I85" s="425">
        <f>'CUARTEL GENERAL'!H92</f>
        <v>0</v>
      </c>
      <c r="J85" s="408"/>
      <c r="K85" s="425">
        <v>1</v>
      </c>
      <c r="L85" s="425">
        <f aca="true" t="shared" si="7" ref="L85:L90">K85*(I85+J85)</f>
        <v>0</v>
      </c>
      <c r="M85" s="425">
        <f>M72</f>
        <v>0.8333333333333333</v>
      </c>
      <c r="N85" s="467">
        <f aca="true" t="shared" si="8" ref="N85:N90">L85*M85</f>
        <v>0</v>
      </c>
      <c r="O85" s="468">
        <f>G23</f>
        <v>1.0714285714285714</v>
      </c>
      <c r="P85" s="467">
        <f aca="true" t="shared" si="9" ref="P85:P90">O85*L85</f>
        <v>0</v>
      </c>
      <c r="Q85" s="425">
        <f>Q72</f>
        <v>0.5714285714285715</v>
      </c>
      <c r="R85" s="468">
        <v>0.6666666666666666</v>
      </c>
      <c r="S85" s="468">
        <f aca="true" t="shared" si="10" ref="S85:S90">L85*Q85*R85</f>
        <v>0</v>
      </c>
      <c r="T85" s="601"/>
      <c r="U85" s="602"/>
      <c r="V85" s="602"/>
      <c r="W85" s="602"/>
      <c r="X85" s="604">
        <f>S85</f>
        <v>0</v>
      </c>
      <c r="Y85" s="602"/>
      <c r="Z85" s="603"/>
    </row>
    <row r="86" spans="1:26" ht="15.75">
      <c r="A86" s="393"/>
      <c r="B86" s="424"/>
      <c r="C86" s="390" t="s">
        <v>274</v>
      </c>
      <c r="D86" s="390"/>
      <c r="I86" s="425">
        <f>'CUARTEL GENERAL'!H94+'CUARTEL GENERAL'!H96+'CUARTEL GENERAL'!H100</f>
        <v>0</v>
      </c>
      <c r="J86" s="408"/>
      <c r="K86" s="425">
        <v>1</v>
      </c>
      <c r="L86" s="425">
        <f t="shared" si="7"/>
        <v>0</v>
      </c>
      <c r="M86" s="425">
        <f>M73</f>
        <v>0.8333333333333333</v>
      </c>
      <c r="N86" s="467">
        <f t="shared" si="8"/>
        <v>0</v>
      </c>
      <c r="O86" s="468">
        <f>G23</f>
        <v>1.0714285714285714</v>
      </c>
      <c r="P86" s="467">
        <f t="shared" si="9"/>
        <v>0</v>
      </c>
      <c r="Q86" s="425">
        <f>Q73</f>
        <v>2.571428571428571</v>
      </c>
      <c r="R86" s="468">
        <v>0.6666666666666666</v>
      </c>
      <c r="S86" s="468">
        <f t="shared" si="10"/>
        <v>0</v>
      </c>
      <c r="T86" s="601"/>
      <c r="U86" s="604">
        <f>S86</f>
        <v>0</v>
      </c>
      <c r="V86" s="602"/>
      <c r="W86" s="602"/>
      <c r="X86" s="604"/>
      <c r="Y86" s="602"/>
      <c r="Z86" s="603"/>
    </row>
    <row r="87" spans="1:26" ht="15.75">
      <c r="A87" s="393"/>
      <c r="B87" s="424"/>
      <c r="C87" s="390" t="s">
        <v>416</v>
      </c>
      <c r="D87" s="390"/>
      <c r="I87" s="425">
        <f>'CUARTEL GENERAL'!H93+'CUARTEL GENERAL'!H95+'CUARTEL GENERAL'!H103</f>
        <v>0</v>
      </c>
      <c r="J87" s="408"/>
      <c r="K87" s="425">
        <v>1.5</v>
      </c>
      <c r="L87" s="425">
        <f t="shared" si="7"/>
        <v>0</v>
      </c>
      <c r="M87" s="425">
        <f>M74</f>
        <v>1.25</v>
      </c>
      <c r="N87" s="467">
        <f t="shared" si="8"/>
        <v>0</v>
      </c>
      <c r="O87" s="468">
        <f>G22</f>
        <v>1.4285714285714284</v>
      </c>
      <c r="P87" s="467">
        <f t="shared" si="9"/>
        <v>0</v>
      </c>
      <c r="Q87" s="425">
        <f>Q74</f>
        <v>0.5714285714285715</v>
      </c>
      <c r="R87" s="468">
        <v>0.6666666666666666</v>
      </c>
      <c r="S87" s="468">
        <f t="shared" si="10"/>
        <v>0</v>
      </c>
      <c r="T87" s="601"/>
      <c r="U87" s="604"/>
      <c r="V87" s="602"/>
      <c r="W87" s="602"/>
      <c r="X87" s="604">
        <f>S87</f>
        <v>0</v>
      </c>
      <c r="Y87" s="602"/>
      <c r="Z87" s="603"/>
    </row>
    <row r="88" spans="1:26" ht="15.75">
      <c r="A88" s="393"/>
      <c r="B88" s="424"/>
      <c r="C88" s="390" t="s">
        <v>426</v>
      </c>
      <c r="D88" s="390"/>
      <c r="I88" s="425">
        <f>'CUARTEL GENERAL'!H99+'CUARTEL GENERAL'!H102+'CUARTEL GENERAL'!H105</f>
        <v>0</v>
      </c>
      <c r="J88" s="408"/>
      <c r="K88" s="425">
        <v>1.5</v>
      </c>
      <c r="L88" s="425">
        <f t="shared" si="7"/>
        <v>0</v>
      </c>
      <c r="M88" s="425">
        <f>M76</f>
        <v>1.25</v>
      </c>
      <c r="N88" s="467">
        <f t="shared" si="8"/>
        <v>0</v>
      </c>
      <c r="O88" s="468">
        <f>G22</f>
        <v>1.4285714285714284</v>
      </c>
      <c r="P88" s="467">
        <f t="shared" si="9"/>
        <v>0</v>
      </c>
      <c r="Q88" s="425">
        <f>Q76</f>
        <v>2.571428571428571</v>
      </c>
      <c r="R88" s="468">
        <v>0.6666666666666666</v>
      </c>
      <c r="S88" s="468">
        <f t="shared" si="10"/>
        <v>0</v>
      </c>
      <c r="T88" s="601"/>
      <c r="U88" s="604">
        <f>S88</f>
        <v>0</v>
      </c>
      <c r="V88" s="602"/>
      <c r="W88" s="602"/>
      <c r="X88" s="604"/>
      <c r="Y88" s="602"/>
      <c r="Z88" s="603"/>
    </row>
    <row r="89" spans="1:26" ht="15.75">
      <c r="A89" s="393"/>
      <c r="B89" s="424"/>
      <c r="C89" s="390" t="s">
        <v>427</v>
      </c>
      <c r="D89" s="390"/>
      <c r="I89" s="425">
        <f>'CUARTEL GENERAL'!H98+'CUARTEL GENERAL'!H101+'CUARTEL GENERAL'!H104</f>
        <v>0</v>
      </c>
      <c r="J89" s="408"/>
      <c r="K89" s="425">
        <v>1</v>
      </c>
      <c r="L89" s="425">
        <f t="shared" si="7"/>
        <v>0</v>
      </c>
      <c r="M89" s="425">
        <f>M77</f>
        <v>0.8333333333333333</v>
      </c>
      <c r="N89" s="467">
        <f t="shared" si="8"/>
        <v>0</v>
      </c>
      <c r="O89" s="468">
        <f>G23</f>
        <v>1.0714285714285714</v>
      </c>
      <c r="P89" s="467">
        <f t="shared" si="9"/>
        <v>0</v>
      </c>
      <c r="Q89" s="425">
        <f>Q77</f>
        <v>3.4285714285714284</v>
      </c>
      <c r="R89" s="468">
        <v>0.6666666666666666</v>
      </c>
      <c r="S89" s="468">
        <f t="shared" si="10"/>
        <v>0</v>
      </c>
      <c r="T89" s="604">
        <f>S89</f>
        <v>0</v>
      </c>
      <c r="U89" s="604"/>
      <c r="V89" s="602"/>
      <c r="W89" s="602"/>
      <c r="Y89" s="602"/>
      <c r="Z89" s="603"/>
    </row>
    <row r="90" spans="1:26" ht="16.5" thickBot="1">
      <c r="A90" s="393"/>
      <c r="B90" s="426"/>
      <c r="C90" s="390" t="s">
        <v>280</v>
      </c>
      <c r="D90" s="390"/>
      <c r="I90" s="425">
        <f>'CUARTEL GENERAL'!H97</f>
        <v>0</v>
      </c>
      <c r="J90" s="408"/>
      <c r="K90" s="425">
        <v>1</v>
      </c>
      <c r="L90" s="425">
        <f t="shared" si="7"/>
        <v>0</v>
      </c>
      <c r="M90" s="425" t="str">
        <f>M78</f>
        <v>0.5</v>
      </c>
      <c r="N90" s="467">
        <f t="shared" si="8"/>
        <v>0</v>
      </c>
      <c r="O90" s="425">
        <f>O78</f>
        <v>1</v>
      </c>
      <c r="P90" s="467">
        <f t="shared" si="9"/>
        <v>0</v>
      </c>
      <c r="Q90" s="425">
        <f>Q78</f>
        <v>0.5714285714285715</v>
      </c>
      <c r="R90" s="425">
        <v>1</v>
      </c>
      <c r="S90" s="468">
        <f t="shared" si="10"/>
        <v>0</v>
      </c>
      <c r="T90" s="601"/>
      <c r="U90" s="604"/>
      <c r="V90" s="602"/>
      <c r="W90" s="602"/>
      <c r="X90" s="605">
        <f>S90</f>
        <v>0</v>
      </c>
      <c r="Y90" s="602"/>
      <c r="Z90" s="603"/>
    </row>
    <row r="91" spans="1:26" ht="13.5" thickBot="1">
      <c r="A91" s="389"/>
      <c r="B91" s="388" t="s">
        <v>13</v>
      </c>
      <c r="C91" s="398"/>
      <c r="D91" s="398"/>
      <c r="E91" s="398"/>
      <c r="F91" s="398"/>
      <c r="G91" s="398"/>
      <c r="H91" s="428"/>
      <c r="I91" s="381">
        <f>SUM(I92:I109)</f>
        <v>0</v>
      </c>
      <c r="J91" s="381">
        <f>SUM(J92:J109)</f>
        <v>0</v>
      </c>
      <c r="K91" s="381"/>
      <c r="L91" s="381">
        <f>SUM(L92:L109)</f>
        <v>0</v>
      </c>
      <c r="M91" s="436">
        <f>SUM(M92:M109)</f>
        <v>32.5</v>
      </c>
      <c r="N91" s="436">
        <f>SUM(N92:N109)</f>
        <v>0</v>
      </c>
      <c r="O91" s="436">
        <f>SUM(O92:O109)</f>
        <v>15.500000000000002</v>
      </c>
      <c r="P91" s="436">
        <f>SUM(P92:P109)</f>
        <v>0</v>
      </c>
      <c r="Q91" s="436"/>
      <c r="R91" s="606"/>
      <c r="S91" s="503">
        <f>SUM(S92:S109)</f>
        <v>0</v>
      </c>
      <c r="T91" s="601"/>
      <c r="U91" s="602"/>
      <c r="V91" s="602"/>
      <c r="W91" s="602"/>
      <c r="X91" s="602"/>
      <c r="Y91" s="602"/>
      <c r="Z91" s="603"/>
    </row>
    <row r="92" spans="1:26" ht="15.75">
      <c r="A92" s="393">
        <v>1</v>
      </c>
      <c r="B92" s="424" t="s">
        <v>425</v>
      </c>
      <c r="C92" s="390"/>
      <c r="D92" s="390"/>
      <c r="I92" s="425"/>
      <c r="J92" s="408"/>
      <c r="K92" s="425"/>
      <c r="L92" s="425"/>
      <c r="M92" s="467"/>
      <c r="N92" s="467"/>
      <c r="O92" s="467"/>
      <c r="P92" s="467"/>
      <c r="Q92" s="467"/>
      <c r="R92" s="467"/>
      <c r="S92" s="507"/>
      <c r="T92" s="607"/>
      <c r="U92" s="602"/>
      <c r="V92" s="602"/>
      <c r="W92" s="602"/>
      <c r="X92" s="602"/>
      <c r="Y92" s="602"/>
      <c r="Z92" s="603"/>
    </row>
    <row r="93" spans="1:26" ht="15.75">
      <c r="A93" s="393"/>
      <c r="B93" s="424"/>
      <c r="C93" s="390" t="s">
        <v>113</v>
      </c>
      <c r="D93" s="390"/>
      <c r="I93" s="425">
        <f>LINEA!H6</f>
        <v>0</v>
      </c>
      <c r="J93" s="408"/>
      <c r="K93" s="425">
        <v>1</v>
      </c>
      <c r="L93" s="425">
        <f aca="true" t="shared" si="11" ref="L93:L103">K93*(I93+J93)</f>
        <v>0</v>
      </c>
      <c r="M93" s="425">
        <f>M61</f>
        <v>0.8333333333333333</v>
      </c>
      <c r="N93" s="467">
        <f aca="true" t="shared" si="12" ref="N93:N103">L93*M93</f>
        <v>0</v>
      </c>
      <c r="O93" s="425">
        <f>O61</f>
        <v>1.0714285714285714</v>
      </c>
      <c r="P93" s="467">
        <f aca="true" t="shared" si="13" ref="P93:P103">O93*L93</f>
        <v>0</v>
      </c>
      <c r="Q93" s="425">
        <f>Q61</f>
        <v>0.5714285714285715</v>
      </c>
      <c r="R93" s="468">
        <v>0.6666666666666666</v>
      </c>
      <c r="S93" s="467">
        <f aca="true" t="shared" si="14" ref="S93:S103">L93*Q93*R93</f>
        <v>0</v>
      </c>
      <c r="T93" s="607"/>
      <c r="U93" s="602"/>
      <c r="V93" s="602"/>
      <c r="W93" s="602"/>
      <c r="X93" s="604">
        <f>S93</f>
        <v>0</v>
      </c>
      <c r="Y93" s="602"/>
      <c r="Z93" s="603"/>
    </row>
    <row r="94" spans="1:26" ht="15.75">
      <c r="A94" s="393"/>
      <c r="B94" s="424"/>
      <c r="C94" s="390" t="s">
        <v>274</v>
      </c>
      <c r="D94" s="390"/>
      <c r="I94" s="425">
        <f>LINEA!H7</f>
        <v>0</v>
      </c>
      <c r="J94" s="408"/>
      <c r="K94" s="425">
        <v>1</v>
      </c>
      <c r="L94" s="425">
        <f t="shared" si="11"/>
        <v>0</v>
      </c>
      <c r="M94" s="425">
        <f>M63</f>
        <v>0.8333333333333333</v>
      </c>
      <c r="N94" s="467">
        <f t="shared" si="12"/>
        <v>0</v>
      </c>
      <c r="O94" s="425">
        <f>O63</f>
        <v>1.0714285714285714</v>
      </c>
      <c r="P94" s="467">
        <f t="shared" si="13"/>
        <v>0</v>
      </c>
      <c r="Q94" s="425">
        <f>Q63</f>
        <v>2.571428571428571</v>
      </c>
      <c r="R94" s="468">
        <v>0.6666666666666666</v>
      </c>
      <c r="S94" s="467">
        <f t="shared" si="14"/>
        <v>0</v>
      </c>
      <c r="T94" s="607"/>
      <c r="U94" s="604">
        <f>S94</f>
        <v>0</v>
      </c>
      <c r="V94" s="602"/>
      <c r="W94" s="602"/>
      <c r="X94" s="604"/>
      <c r="Y94" s="602"/>
      <c r="Z94" s="603"/>
    </row>
    <row r="95" spans="1:26" ht="15.75">
      <c r="A95" s="393"/>
      <c r="B95" s="424"/>
      <c r="C95" s="390" t="s">
        <v>416</v>
      </c>
      <c r="D95" s="390"/>
      <c r="I95" s="425">
        <f>LINEA!H5</f>
        <v>0</v>
      </c>
      <c r="J95" s="408"/>
      <c r="K95" s="425">
        <v>1.5</v>
      </c>
      <c r="L95" s="425">
        <f t="shared" si="11"/>
        <v>0</v>
      </c>
      <c r="M95" s="425">
        <f>M64</f>
        <v>1.25</v>
      </c>
      <c r="N95" s="467">
        <f t="shared" si="12"/>
        <v>0</v>
      </c>
      <c r="O95" s="425">
        <f>O64</f>
        <v>1.4285714285714284</v>
      </c>
      <c r="P95" s="467">
        <f t="shared" si="13"/>
        <v>0</v>
      </c>
      <c r="Q95" s="425">
        <f>Q64</f>
        <v>0.5714285714285715</v>
      </c>
      <c r="R95" s="468">
        <v>0.6666666666666666</v>
      </c>
      <c r="S95" s="467">
        <f t="shared" si="14"/>
        <v>0</v>
      </c>
      <c r="T95" s="607"/>
      <c r="U95" s="604"/>
      <c r="V95" s="602"/>
      <c r="W95" s="602"/>
      <c r="X95" s="604">
        <f>S95</f>
        <v>0</v>
      </c>
      <c r="Y95" s="602"/>
      <c r="Z95" s="603"/>
    </row>
    <row r="96" spans="1:26" ht="15.75">
      <c r="A96" s="393"/>
      <c r="B96" s="424"/>
      <c r="C96" s="390" t="s">
        <v>426</v>
      </c>
      <c r="D96" s="390"/>
      <c r="I96" s="425">
        <f>LINEA!H10</f>
        <v>0</v>
      </c>
      <c r="J96" s="408"/>
      <c r="K96" s="425">
        <v>1.5</v>
      </c>
      <c r="L96" s="425">
        <f t="shared" si="11"/>
        <v>0</v>
      </c>
      <c r="M96" s="425">
        <f>M67</f>
        <v>1.25</v>
      </c>
      <c r="N96" s="467">
        <f t="shared" si="12"/>
        <v>0</v>
      </c>
      <c r="O96" s="425">
        <f>O67</f>
        <v>1.4285714285714284</v>
      </c>
      <c r="P96" s="467">
        <f t="shared" si="13"/>
        <v>0</v>
      </c>
      <c r="Q96" s="425">
        <f>Q67</f>
        <v>2.571428571428571</v>
      </c>
      <c r="R96" s="468">
        <v>0.6666666666666666</v>
      </c>
      <c r="S96" s="467">
        <f t="shared" si="14"/>
        <v>0</v>
      </c>
      <c r="T96" s="607"/>
      <c r="U96" s="604">
        <f>S96</f>
        <v>0</v>
      </c>
      <c r="V96" s="602"/>
      <c r="W96" s="602"/>
      <c r="X96" s="604"/>
      <c r="Y96" s="602"/>
      <c r="Z96" s="603"/>
    </row>
    <row r="97" spans="1:26" ht="15.75">
      <c r="A97" s="393"/>
      <c r="B97" s="424"/>
      <c r="C97" s="390" t="s">
        <v>427</v>
      </c>
      <c r="D97" s="390"/>
      <c r="I97" s="425">
        <f>LINEA!H9</f>
        <v>0</v>
      </c>
      <c r="J97" s="408"/>
      <c r="K97" s="425">
        <v>1</v>
      </c>
      <c r="L97" s="425">
        <f t="shared" si="11"/>
        <v>0</v>
      </c>
      <c r="M97" s="425">
        <f>M69</f>
        <v>0.8333333333333333</v>
      </c>
      <c r="N97" s="467">
        <f t="shared" si="12"/>
        <v>0</v>
      </c>
      <c r="O97" s="425">
        <f>O69</f>
        <v>1.0714285714285714</v>
      </c>
      <c r="P97" s="467">
        <f t="shared" si="13"/>
        <v>0</v>
      </c>
      <c r="Q97" s="425">
        <f>Q69</f>
        <v>3.4285714285714284</v>
      </c>
      <c r="R97" s="468">
        <v>0.6666666666666666</v>
      </c>
      <c r="S97" s="467">
        <f t="shared" si="14"/>
        <v>0</v>
      </c>
      <c r="T97" s="608">
        <f>S97</f>
        <v>0</v>
      </c>
      <c r="U97" s="604"/>
      <c r="V97" s="602"/>
      <c r="W97" s="602"/>
      <c r="Y97" s="602"/>
      <c r="Z97" s="603"/>
    </row>
    <row r="98" spans="1:26" ht="15.75">
      <c r="A98" s="393"/>
      <c r="B98" s="426"/>
      <c r="C98" s="390" t="s">
        <v>280</v>
      </c>
      <c r="D98" s="390"/>
      <c r="I98" s="425">
        <f>LINEA!H8</f>
        <v>0</v>
      </c>
      <c r="J98" s="408"/>
      <c r="K98" s="425">
        <v>1</v>
      </c>
      <c r="L98" s="425">
        <f t="shared" si="11"/>
        <v>0</v>
      </c>
      <c r="M98" s="425" t="str">
        <f>M70</f>
        <v>0.5</v>
      </c>
      <c r="N98" s="467">
        <f t="shared" si="12"/>
        <v>0</v>
      </c>
      <c r="O98" s="425">
        <f>O70</f>
        <v>0.5</v>
      </c>
      <c r="P98" s="467">
        <f t="shared" si="13"/>
        <v>0</v>
      </c>
      <c r="Q98" s="425">
        <f>Q70</f>
        <v>0.5714285714285715</v>
      </c>
      <c r="R98" s="425">
        <v>1</v>
      </c>
      <c r="S98" s="467">
        <f t="shared" si="14"/>
        <v>0</v>
      </c>
      <c r="T98" s="607"/>
      <c r="U98" s="604"/>
      <c r="V98" s="602"/>
      <c r="W98" s="602"/>
      <c r="X98" s="605">
        <f>S98</f>
        <v>0</v>
      </c>
      <c r="Y98" s="602"/>
      <c r="Z98" s="603"/>
    </row>
    <row r="99" spans="1:26" ht="12.75">
      <c r="A99" s="393"/>
      <c r="B99" s="390"/>
      <c r="C99" s="390" t="s">
        <v>309</v>
      </c>
      <c r="D99" s="390"/>
      <c r="I99" s="425">
        <f>LINEA!H11</f>
        <v>0</v>
      </c>
      <c r="J99" s="408"/>
      <c r="K99" s="425">
        <v>3</v>
      </c>
      <c r="L99" s="425">
        <f t="shared" si="11"/>
        <v>0</v>
      </c>
      <c r="M99" s="467">
        <f>C16</f>
        <v>2.5</v>
      </c>
      <c r="N99" s="467">
        <f t="shared" si="12"/>
        <v>0</v>
      </c>
      <c r="O99" s="467">
        <f>$G$27</f>
        <v>0</v>
      </c>
      <c r="P99" s="467">
        <f t="shared" si="13"/>
        <v>0</v>
      </c>
      <c r="Q99" s="467">
        <f>K20</f>
        <v>1.142857142857143</v>
      </c>
      <c r="R99" s="467">
        <v>0.6666666666666666</v>
      </c>
      <c r="S99" s="467">
        <f t="shared" si="14"/>
        <v>0</v>
      </c>
      <c r="T99" s="607"/>
      <c r="V99" s="602"/>
      <c r="W99" s="604">
        <f>S99</f>
        <v>0</v>
      </c>
      <c r="X99" s="602"/>
      <c r="Y99" s="602"/>
      <c r="Z99" s="603"/>
    </row>
    <row r="100" spans="1:26" ht="12.75">
      <c r="A100" s="393"/>
      <c r="B100" s="390"/>
      <c r="C100" s="390" t="s">
        <v>429</v>
      </c>
      <c r="D100" s="390"/>
      <c r="I100" s="425">
        <f>LINEA!H12</f>
        <v>0</v>
      </c>
      <c r="J100" s="408"/>
      <c r="K100" s="425">
        <v>1</v>
      </c>
      <c r="L100" s="425">
        <f t="shared" si="11"/>
        <v>0</v>
      </c>
      <c r="M100" s="467">
        <f>C18</f>
        <v>1.6666666666666665</v>
      </c>
      <c r="N100" s="467">
        <f t="shared" si="12"/>
        <v>0</v>
      </c>
      <c r="O100" s="467">
        <f>$G$27</f>
        <v>0</v>
      </c>
      <c r="P100" s="467">
        <f t="shared" si="13"/>
        <v>0</v>
      </c>
      <c r="Q100" s="467">
        <f>K17</f>
        <v>3.4285714285714284</v>
      </c>
      <c r="R100" s="467">
        <v>0.6666666666666666</v>
      </c>
      <c r="S100" s="467">
        <f t="shared" si="14"/>
        <v>0</v>
      </c>
      <c r="T100" s="608">
        <f>S100</f>
        <v>0</v>
      </c>
      <c r="U100" s="604"/>
      <c r="V100" s="602"/>
      <c r="W100" s="602"/>
      <c r="X100" s="602"/>
      <c r="Y100" s="602"/>
      <c r="Z100" s="603"/>
    </row>
    <row r="101" spans="1:26" ht="12.75">
      <c r="A101" s="393"/>
      <c r="B101" s="390"/>
      <c r="C101" s="390" t="s">
        <v>428</v>
      </c>
      <c r="D101" s="390"/>
      <c r="I101" s="425">
        <f>LINEA!H13</f>
        <v>0</v>
      </c>
      <c r="J101" s="408"/>
      <c r="K101" s="425">
        <v>1</v>
      </c>
      <c r="L101" s="425">
        <f t="shared" si="11"/>
        <v>0</v>
      </c>
      <c r="M101" s="467">
        <f>C16</f>
        <v>2.5</v>
      </c>
      <c r="N101" s="467">
        <f t="shared" si="12"/>
        <v>0</v>
      </c>
      <c r="O101" s="467">
        <f>$G$27</f>
        <v>0</v>
      </c>
      <c r="P101" s="467">
        <f t="shared" si="13"/>
        <v>0</v>
      </c>
      <c r="Q101" s="467">
        <f>K18</f>
        <v>2.571428571428571</v>
      </c>
      <c r="R101" s="467">
        <v>0.43209876543209874</v>
      </c>
      <c r="S101" s="467">
        <f t="shared" si="14"/>
        <v>0</v>
      </c>
      <c r="T101" s="607"/>
      <c r="U101" s="609">
        <f>S101</f>
        <v>0</v>
      </c>
      <c r="V101" s="602"/>
      <c r="W101" s="602"/>
      <c r="X101" s="580"/>
      <c r="Y101" s="602"/>
      <c r="Z101" s="603"/>
    </row>
    <row r="102" spans="1:26" ht="12.75">
      <c r="A102" s="393"/>
      <c r="B102" s="390"/>
      <c r="C102" s="390" t="s">
        <v>299</v>
      </c>
      <c r="D102" s="390"/>
      <c r="I102" s="425">
        <f>LINEA!H14</f>
        <v>0</v>
      </c>
      <c r="J102" s="408"/>
      <c r="K102" s="425">
        <v>1</v>
      </c>
      <c r="L102" s="425">
        <f t="shared" si="11"/>
        <v>0</v>
      </c>
      <c r="M102" s="467">
        <f>C15</f>
        <v>3.333333333333333</v>
      </c>
      <c r="N102" s="467">
        <f t="shared" si="12"/>
        <v>0</v>
      </c>
      <c r="O102" s="467">
        <f>$G$27</f>
        <v>0</v>
      </c>
      <c r="P102" s="467">
        <f t="shared" si="13"/>
        <v>0</v>
      </c>
      <c r="Q102" s="467">
        <f>K17</f>
        <v>3.4285714285714284</v>
      </c>
      <c r="R102" s="467">
        <f>R103</f>
        <v>0.6666666666666666</v>
      </c>
      <c r="S102" s="467">
        <f t="shared" si="14"/>
        <v>0</v>
      </c>
      <c r="T102" s="607"/>
      <c r="U102" s="602"/>
      <c r="V102" s="609">
        <f>S102</f>
        <v>0</v>
      </c>
      <c r="W102" s="602"/>
      <c r="X102" s="580"/>
      <c r="Z102" s="603"/>
    </row>
    <row r="103" spans="1:26" ht="12.75">
      <c r="A103" s="393"/>
      <c r="B103" s="390"/>
      <c r="C103" s="390" t="s">
        <v>112</v>
      </c>
      <c r="D103" s="390"/>
      <c r="I103" s="425">
        <f>LINEA!H15</f>
        <v>0</v>
      </c>
      <c r="J103" s="408"/>
      <c r="K103" s="425">
        <v>1</v>
      </c>
      <c r="L103" s="425">
        <f t="shared" si="11"/>
        <v>0</v>
      </c>
      <c r="M103" s="467">
        <f>C15</f>
        <v>3.333333333333333</v>
      </c>
      <c r="N103" s="467">
        <f t="shared" si="12"/>
        <v>0</v>
      </c>
      <c r="O103" s="467">
        <f>$G$27</f>
        <v>0</v>
      </c>
      <c r="P103" s="467">
        <f t="shared" si="13"/>
        <v>0</v>
      </c>
      <c r="Q103" s="467">
        <f>K16</f>
        <v>4</v>
      </c>
      <c r="R103" s="467">
        <v>0.6666666666666666</v>
      </c>
      <c r="S103" s="467">
        <f t="shared" si="14"/>
        <v>0</v>
      </c>
      <c r="T103" s="607"/>
      <c r="U103" s="609">
        <f>S103</f>
        <v>0</v>
      </c>
      <c r="V103" s="602"/>
      <c r="W103" s="602"/>
      <c r="X103" s="580"/>
      <c r="Y103" s="602"/>
      <c r="Z103" s="603"/>
    </row>
    <row r="104" spans="1:26" ht="15.75">
      <c r="A104" s="393">
        <v>2</v>
      </c>
      <c r="B104" s="424" t="s">
        <v>430</v>
      </c>
      <c r="C104" s="390"/>
      <c r="D104" s="390"/>
      <c r="I104" s="425"/>
      <c r="J104" s="408"/>
      <c r="K104" s="425"/>
      <c r="L104" s="425"/>
      <c r="M104" s="467"/>
      <c r="N104" s="467"/>
      <c r="O104" s="467"/>
      <c r="P104" s="467"/>
      <c r="Q104" s="467"/>
      <c r="R104" s="467"/>
      <c r="S104" s="467"/>
      <c r="T104" s="607"/>
      <c r="U104" s="602"/>
      <c r="V104" s="602"/>
      <c r="W104" s="602"/>
      <c r="X104" s="609"/>
      <c r="Y104" s="602"/>
      <c r="Z104" s="603"/>
    </row>
    <row r="105" spans="1:26" ht="15.75">
      <c r="A105" s="393"/>
      <c r="B105" s="424"/>
      <c r="C105" s="390" t="s">
        <v>259</v>
      </c>
      <c r="D105" s="390"/>
      <c r="I105" s="425"/>
      <c r="J105" s="425">
        <f>LINEA!H23+LINEA!H28+LINEA!H26+'A.PESADO'!H20+'A.PESADO'!H25+'A.PESADO'!H35</f>
        <v>0</v>
      </c>
      <c r="K105" s="425">
        <v>2</v>
      </c>
      <c r="L105" s="425">
        <f>K105*(I105+J105)</f>
        <v>0</v>
      </c>
      <c r="M105" s="467">
        <f>C18</f>
        <v>1.6666666666666665</v>
      </c>
      <c r="N105" s="467">
        <f>L105*M105</f>
        <v>0</v>
      </c>
      <c r="O105" s="467">
        <f>G21</f>
        <v>1.7857142857142858</v>
      </c>
      <c r="P105" s="467">
        <f>O105*L105</f>
        <v>0</v>
      </c>
      <c r="Q105" s="467">
        <f>K21</f>
        <v>0.5714285714285715</v>
      </c>
      <c r="R105" s="467">
        <v>0.6666666666666666</v>
      </c>
      <c r="S105" s="467">
        <f>L105*Q105*R105</f>
        <v>0</v>
      </c>
      <c r="T105" s="607"/>
      <c r="U105" s="602"/>
      <c r="V105" s="602"/>
      <c r="W105" s="602"/>
      <c r="X105" s="609">
        <f>S105</f>
        <v>0</v>
      </c>
      <c r="Y105" s="602"/>
      <c r="Z105" s="603"/>
    </row>
    <row r="106" spans="1:26" ht="15.75">
      <c r="A106" s="393"/>
      <c r="B106" s="424"/>
      <c r="C106" s="390" t="s">
        <v>316</v>
      </c>
      <c r="D106" s="390"/>
      <c r="I106" s="425"/>
      <c r="J106" s="408">
        <f>'A.PESADO'!H19+'A.PESADO'!H24+'A.PESADO'!H34+LINEA!H22+LINEA!H27</f>
        <v>0</v>
      </c>
      <c r="K106" s="425">
        <v>1</v>
      </c>
      <c r="L106" s="425">
        <f>K106*(I106+J106)</f>
        <v>0</v>
      </c>
      <c r="M106" s="467">
        <f>C13</f>
        <v>5</v>
      </c>
      <c r="N106" s="467">
        <f>L106*M106</f>
        <v>0</v>
      </c>
      <c r="O106" s="467">
        <v>0</v>
      </c>
      <c r="P106" s="516">
        <f>O106*L106</f>
        <v>0</v>
      </c>
      <c r="Q106" s="467">
        <f>K17</f>
        <v>3.4285714285714284</v>
      </c>
      <c r="R106" s="467">
        <v>0.6666666666666666</v>
      </c>
      <c r="S106" s="467">
        <f>L106*Q106*R106</f>
        <v>0</v>
      </c>
      <c r="T106" s="607"/>
      <c r="U106" s="602"/>
      <c r="V106" s="604">
        <f>S106</f>
        <v>0</v>
      </c>
      <c r="W106" s="602"/>
      <c r="X106" s="609"/>
      <c r="Y106" s="602"/>
      <c r="Z106" s="603"/>
    </row>
    <row r="107" spans="1:26" ht="15.75">
      <c r="A107" s="393"/>
      <c r="B107" s="424"/>
      <c r="C107" s="390" t="s">
        <v>296</v>
      </c>
      <c r="D107" s="390"/>
      <c r="I107" s="425"/>
      <c r="J107" s="425">
        <f>LINEA!H20</f>
        <v>0</v>
      </c>
      <c r="K107" s="425">
        <v>3</v>
      </c>
      <c r="L107" s="425">
        <f>K107*(I107+J107)</f>
        <v>0</v>
      </c>
      <c r="M107" s="467">
        <f>C16</f>
        <v>2.5</v>
      </c>
      <c r="N107" s="467">
        <f>L107*M107</f>
        <v>0</v>
      </c>
      <c r="O107" s="467">
        <f>G19</f>
        <v>2.5</v>
      </c>
      <c r="P107" s="467">
        <f>O107*L107</f>
        <v>0</v>
      </c>
      <c r="Q107" s="467">
        <f>K20</f>
        <v>1.142857142857143</v>
      </c>
      <c r="R107" s="467">
        <v>0.8888888888888888</v>
      </c>
      <c r="S107" s="467">
        <f>L107*Q107*R107</f>
        <v>0</v>
      </c>
      <c r="T107" s="607"/>
      <c r="U107" s="602"/>
      <c r="V107" s="602"/>
      <c r="W107" s="604">
        <f>S107</f>
        <v>0</v>
      </c>
      <c r="X107" s="609"/>
      <c r="Y107" s="602"/>
      <c r="Z107" s="603"/>
    </row>
    <row r="108" spans="1:26" ht="15.75">
      <c r="A108" s="393"/>
      <c r="B108" s="424"/>
      <c r="C108" s="390" t="s">
        <v>298</v>
      </c>
      <c r="D108" s="390"/>
      <c r="I108" s="425"/>
      <c r="J108" s="425">
        <f>LINEA!H21</f>
        <v>0</v>
      </c>
      <c r="K108" s="425">
        <v>1</v>
      </c>
      <c r="L108" s="425">
        <f>K108*(I108+J108)</f>
        <v>0</v>
      </c>
      <c r="M108" s="467">
        <f>C15</f>
        <v>3.333333333333333</v>
      </c>
      <c r="N108" s="467">
        <f>L108*M108</f>
        <v>0</v>
      </c>
      <c r="O108" s="467">
        <f>G17</f>
        <v>3.2142857142857144</v>
      </c>
      <c r="P108" s="467">
        <f>O108*L108</f>
        <v>0</v>
      </c>
      <c r="Q108" s="467">
        <f>K16</f>
        <v>4</v>
      </c>
      <c r="R108" s="467">
        <v>0.8888888888888888</v>
      </c>
      <c r="S108" s="467">
        <f>L108*Q108*R108</f>
        <v>0</v>
      </c>
      <c r="T108" s="607"/>
      <c r="U108" s="604">
        <f>S108</f>
        <v>0</v>
      </c>
      <c r="V108" s="602"/>
      <c r="W108" s="602"/>
      <c r="X108" s="609"/>
      <c r="Y108" s="602"/>
      <c r="Z108" s="603"/>
    </row>
    <row r="109" spans="1:26" ht="16.5" thickBot="1">
      <c r="A109" s="393"/>
      <c r="B109" s="424"/>
      <c r="C109" s="390" t="s">
        <v>431</v>
      </c>
      <c r="D109" s="390"/>
      <c r="I109" s="425"/>
      <c r="J109" s="425">
        <f>LINEA!H31</f>
        <v>0</v>
      </c>
      <c r="K109" s="425">
        <v>2</v>
      </c>
      <c r="L109" s="425">
        <f>K109*(I109+J109)</f>
        <v>0</v>
      </c>
      <c r="M109" s="467">
        <f>C18</f>
        <v>1.6666666666666665</v>
      </c>
      <c r="N109" s="467">
        <f>L109*M109</f>
        <v>0</v>
      </c>
      <c r="O109" s="467">
        <f>G22</f>
        <v>1.4285714285714284</v>
      </c>
      <c r="P109" s="467">
        <f>O109*L109</f>
        <v>0</v>
      </c>
      <c r="Q109" s="467">
        <f>Q105</f>
        <v>0.5714285714285715</v>
      </c>
      <c r="R109" s="467">
        <v>0.3333333333333333</v>
      </c>
      <c r="S109" s="467">
        <f>L109*Q109*R109</f>
        <v>0</v>
      </c>
      <c r="T109" s="607"/>
      <c r="U109" s="602"/>
      <c r="V109" s="602"/>
      <c r="W109" s="602"/>
      <c r="X109" s="609">
        <f>S109</f>
        <v>0</v>
      </c>
      <c r="Y109" s="602"/>
      <c r="Z109" s="603"/>
    </row>
    <row r="110" spans="1:26" ht="13.5" thickBot="1">
      <c r="A110" s="389"/>
      <c r="B110" s="388" t="s">
        <v>14</v>
      </c>
      <c r="C110" s="398"/>
      <c r="D110" s="398"/>
      <c r="E110" s="398"/>
      <c r="F110" s="398"/>
      <c r="G110" s="398"/>
      <c r="H110" s="428"/>
      <c r="I110" s="381">
        <f>SUM(I111:I150)</f>
        <v>0</v>
      </c>
      <c r="J110" s="381">
        <f>SUM(J111:J150)</f>
        <v>0</v>
      </c>
      <c r="K110" s="381"/>
      <c r="L110" s="381">
        <f>SUM(L111:L150)</f>
        <v>0</v>
      </c>
      <c r="M110" s="436">
        <f>SUM(M111:M150)</f>
        <v>62.50000000000001</v>
      </c>
      <c r="N110" s="436">
        <f>SUM(N111:N150)</f>
        <v>0</v>
      </c>
      <c r="O110" s="436">
        <f>SUM(O111:O150)</f>
        <v>38.64285714285715</v>
      </c>
      <c r="P110" s="436">
        <f>SUM(P111:P150)</f>
        <v>0</v>
      </c>
      <c r="Q110" s="436"/>
      <c r="R110" s="606"/>
      <c r="S110" s="503">
        <f>SUM(S111:S150)</f>
        <v>0</v>
      </c>
      <c r="T110" s="601"/>
      <c r="U110" s="602"/>
      <c r="V110" s="602"/>
      <c r="W110" s="602"/>
      <c r="X110" s="609"/>
      <c r="Y110" s="602"/>
      <c r="Z110" s="603"/>
    </row>
    <row r="111" spans="1:26" ht="15.75">
      <c r="A111" s="393">
        <v>1</v>
      </c>
      <c r="B111" s="424" t="s">
        <v>433</v>
      </c>
      <c r="C111" s="390"/>
      <c r="D111" s="390"/>
      <c r="I111" s="425"/>
      <c r="J111" s="408"/>
      <c r="K111" s="425"/>
      <c r="L111" s="425">
        <f aca="true" t="shared" si="15" ref="L111:L129">K111*(I111+J111)</f>
        <v>0</v>
      </c>
      <c r="M111" s="467"/>
      <c r="N111" s="467"/>
      <c r="O111" s="467"/>
      <c r="P111" s="467"/>
      <c r="Q111" s="467"/>
      <c r="R111" s="467"/>
      <c r="S111" s="468"/>
      <c r="T111" s="601"/>
      <c r="U111" s="602"/>
      <c r="V111" s="602"/>
      <c r="W111" s="602"/>
      <c r="X111" s="609"/>
      <c r="Y111" s="602"/>
      <c r="Z111" s="603"/>
    </row>
    <row r="112" spans="1:26" ht="12.75">
      <c r="A112" s="393"/>
      <c r="B112" s="390"/>
      <c r="C112" s="590" t="s">
        <v>293</v>
      </c>
      <c r="D112" s="390"/>
      <c r="I112" s="425">
        <f>ELITE!H6</f>
        <v>0</v>
      </c>
      <c r="J112" s="425">
        <f>ELITE!H12</f>
        <v>0</v>
      </c>
      <c r="K112" s="425">
        <v>4</v>
      </c>
      <c r="L112" s="425">
        <f t="shared" si="15"/>
        <v>0</v>
      </c>
      <c r="M112" s="468">
        <f>C18</f>
        <v>1.6666666666666665</v>
      </c>
      <c r="N112" s="468">
        <f aca="true" t="shared" si="16" ref="N112:N129">L112*M112</f>
        <v>0</v>
      </c>
      <c r="O112" s="468">
        <f>G21</f>
        <v>1.7857142857142858</v>
      </c>
      <c r="P112" s="467">
        <f aca="true" t="shared" si="17" ref="P112:P129">L112*O112</f>
        <v>0</v>
      </c>
      <c r="Q112" s="468">
        <f>Q82</f>
        <v>1.7142857142857142</v>
      </c>
      <c r="R112" s="468">
        <v>0.6666666666666666</v>
      </c>
      <c r="S112" s="468">
        <f aca="true" t="shared" si="18" ref="S112:S129">L112*Q112*R112</f>
        <v>0</v>
      </c>
      <c r="T112" s="601"/>
      <c r="U112" s="609">
        <f>S112*1/6</f>
        <v>0</v>
      </c>
      <c r="V112" s="602"/>
      <c r="W112" s="602">
        <f>S112*5/6</f>
        <v>0</v>
      </c>
      <c r="X112" s="580"/>
      <c r="Y112" s="602"/>
      <c r="Z112" s="603"/>
    </row>
    <row r="113" spans="1:26" ht="12.75">
      <c r="A113" s="393"/>
      <c r="B113" s="390"/>
      <c r="C113" s="590" t="s">
        <v>294</v>
      </c>
      <c r="D113" s="390"/>
      <c r="I113" s="425"/>
      <c r="J113" s="408">
        <f>ELITE!H13</f>
        <v>0</v>
      </c>
      <c r="K113" s="425">
        <v>1</v>
      </c>
      <c r="L113" s="425">
        <f t="shared" si="15"/>
        <v>0</v>
      </c>
      <c r="M113" s="467">
        <f>C16</f>
        <v>2.5</v>
      </c>
      <c r="N113" s="468">
        <f t="shared" si="16"/>
        <v>0</v>
      </c>
      <c r="O113" s="467">
        <f>G19</f>
        <v>2.5</v>
      </c>
      <c r="P113" s="467">
        <f t="shared" si="17"/>
        <v>0</v>
      </c>
      <c r="Q113" s="467">
        <f>Q101</f>
        <v>2.571428571428571</v>
      </c>
      <c r="R113" s="467">
        <v>0.5185185185185185</v>
      </c>
      <c r="S113" s="468">
        <f t="shared" si="18"/>
        <v>0</v>
      </c>
      <c r="T113" s="601"/>
      <c r="U113" s="609">
        <f>S113</f>
        <v>0</v>
      </c>
      <c r="V113" s="602"/>
      <c r="X113" s="580"/>
      <c r="Y113" s="602"/>
      <c r="Z113" s="603"/>
    </row>
    <row r="114" spans="1:26" ht="12.75">
      <c r="A114" s="393"/>
      <c r="B114" s="390"/>
      <c r="C114" s="590" t="s">
        <v>295</v>
      </c>
      <c r="D114" s="390"/>
      <c r="I114" s="425"/>
      <c r="J114" s="408">
        <f>ELITE!H14</f>
        <v>0</v>
      </c>
      <c r="K114" s="425">
        <v>1</v>
      </c>
      <c r="L114" s="425">
        <f t="shared" si="15"/>
        <v>0</v>
      </c>
      <c r="M114" s="467">
        <f>C18</f>
        <v>1.6666666666666665</v>
      </c>
      <c r="N114" s="468">
        <f t="shared" si="16"/>
        <v>0</v>
      </c>
      <c r="O114" s="467">
        <f>G21</f>
        <v>1.7857142857142858</v>
      </c>
      <c r="P114" s="467">
        <f t="shared" si="17"/>
        <v>0</v>
      </c>
      <c r="Q114" s="467">
        <f>Q100</f>
        <v>3.4285714285714284</v>
      </c>
      <c r="R114" s="467">
        <v>0.6666666666666666</v>
      </c>
      <c r="S114" s="468">
        <f t="shared" si="18"/>
        <v>0</v>
      </c>
      <c r="T114" s="610">
        <f>S114</f>
        <v>0</v>
      </c>
      <c r="U114" s="602"/>
      <c r="V114" s="602"/>
      <c r="W114" s="609"/>
      <c r="X114" s="580"/>
      <c r="Y114" s="602"/>
      <c r="Z114" s="603"/>
    </row>
    <row r="115" spans="1:26" ht="12.75">
      <c r="A115" s="393"/>
      <c r="B115" s="390"/>
      <c r="C115" s="390" t="s">
        <v>296</v>
      </c>
      <c r="D115" s="390"/>
      <c r="I115" s="425"/>
      <c r="J115" s="408">
        <f>ELITE!H15</f>
        <v>0</v>
      </c>
      <c r="K115" s="425">
        <v>3</v>
      </c>
      <c r="L115" s="425">
        <f t="shared" si="15"/>
        <v>0</v>
      </c>
      <c r="M115" s="467">
        <f>C16</f>
        <v>2.5</v>
      </c>
      <c r="N115" s="468">
        <f t="shared" si="16"/>
        <v>0</v>
      </c>
      <c r="O115" s="467">
        <f>G19</f>
        <v>2.5</v>
      </c>
      <c r="P115" s="467">
        <f t="shared" si="17"/>
        <v>0</v>
      </c>
      <c r="Q115" s="467">
        <f>Q83</f>
        <v>1.142857142857143</v>
      </c>
      <c r="R115" s="467">
        <v>0.8888888888888888</v>
      </c>
      <c r="S115" s="468">
        <f t="shared" si="18"/>
        <v>0</v>
      </c>
      <c r="T115" s="601"/>
      <c r="U115" s="602"/>
      <c r="V115" s="602"/>
      <c r="W115" s="609">
        <f>S115</f>
        <v>0</v>
      </c>
      <c r="X115" s="580"/>
      <c r="Y115" s="602"/>
      <c r="Z115" s="603"/>
    </row>
    <row r="116" spans="1:26" ht="12.75">
      <c r="A116" s="393"/>
      <c r="B116" s="390"/>
      <c r="C116" s="590" t="s">
        <v>297</v>
      </c>
      <c r="D116" s="390"/>
      <c r="I116" s="425"/>
      <c r="J116" s="408">
        <f>ELITE!H16</f>
        <v>0</v>
      </c>
      <c r="K116" s="425">
        <v>2</v>
      </c>
      <c r="L116" s="425">
        <f t="shared" si="15"/>
        <v>0</v>
      </c>
      <c r="M116" s="467">
        <f>C15</f>
        <v>3.333333333333333</v>
      </c>
      <c r="N116" s="468">
        <f t="shared" si="16"/>
        <v>0</v>
      </c>
      <c r="O116" s="467">
        <f>G17</f>
        <v>3.2142857142857144</v>
      </c>
      <c r="P116" s="467">
        <f t="shared" si="17"/>
        <v>0</v>
      </c>
      <c r="Q116" s="467">
        <f>K18</f>
        <v>2.571428571428571</v>
      </c>
      <c r="R116" s="467">
        <v>0.8888888888888888</v>
      </c>
      <c r="S116" s="468">
        <f t="shared" si="18"/>
        <v>0</v>
      </c>
      <c r="T116" s="601"/>
      <c r="U116" s="602"/>
      <c r="V116" s="602"/>
      <c r="W116" s="609">
        <f>S116</f>
        <v>0</v>
      </c>
      <c r="X116" s="580"/>
      <c r="Y116" s="602"/>
      <c r="Z116" s="603"/>
    </row>
    <row r="117" spans="1:26" ht="12.75">
      <c r="A117" s="393"/>
      <c r="B117" s="390"/>
      <c r="C117" s="590" t="s">
        <v>298</v>
      </c>
      <c r="D117" s="390"/>
      <c r="I117" s="425"/>
      <c r="J117" s="408">
        <f>ELITE!H17</f>
        <v>0</v>
      </c>
      <c r="K117" s="425">
        <v>1</v>
      </c>
      <c r="L117" s="425">
        <f t="shared" si="15"/>
        <v>0</v>
      </c>
      <c r="M117" s="467">
        <f>C15</f>
        <v>3.333333333333333</v>
      </c>
      <c r="N117" s="468">
        <f t="shared" si="16"/>
        <v>0</v>
      </c>
      <c r="O117" s="467">
        <f>G17</f>
        <v>3.2142857142857144</v>
      </c>
      <c r="P117" s="467">
        <f t="shared" si="17"/>
        <v>0</v>
      </c>
      <c r="Q117" s="467">
        <f>Q108</f>
        <v>4</v>
      </c>
      <c r="R117" s="467">
        <v>0.8888888888888888</v>
      </c>
      <c r="S117" s="468">
        <f t="shared" si="18"/>
        <v>0</v>
      </c>
      <c r="T117" s="601"/>
      <c r="U117" s="604">
        <f>S117</f>
        <v>0</v>
      </c>
      <c r="V117" s="602"/>
      <c r="W117" s="609"/>
      <c r="X117" s="580"/>
      <c r="Y117" s="602"/>
      <c r="Z117" s="603"/>
    </row>
    <row r="118" spans="1:26" ht="12.75">
      <c r="A118" s="393"/>
      <c r="B118" s="390"/>
      <c r="C118" s="590" t="s">
        <v>299</v>
      </c>
      <c r="D118" s="390"/>
      <c r="I118" s="425">
        <f>ELITE!H9+ELITE!H8</f>
        <v>0</v>
      </c>
      <c r="J118" s="408">
        <f>ELITE!H18</f>
        <v>0</v>
      </c>
      <c r="K118" s="425">
        <v>1</v>
      </c>
      <c r="L118" s="425">
        <f t="shared" si="15"/>
        <v>0</v>
      </c>
      <c r="M118" s="467">
        <f>C15</f>
        <v>3.333333333333333</v>
      </c>
      <c r="N118" s="468">
        <f t="shared" si="16"/>
        <v>0</v>
      </c>
      <c r="O118" s="467">
        <f>G17</f>
        <v>3.2142857142857144</v>
      </c>
      <c r="P118" s="467">
        <f t="shared" si="17"/>
        <v>0</v>
      </c>
      <c r="Q118" s="467">
        <f>Q106</f>
        <v>3.4285714285714284</v>
      </c>
      <c r="R118" s="467">
        <f>R112</f>
        <v>0.6666666666666666</v>
      </c>
      <c r="S118" s="468">
        <f t="shared" si="18"/>
        <v>0</v>
      </c>
      <c r="T118" s="601"/>
      <c r="U118" s="602"/>
      <c r="V118" s="604">
        <f>S118</f>
        <v>0</v>
      </c>
      <c r="W118" s="609"/>
      <c r="X118" s="580"/>
      <c r="Z118" s="603"/>
    </row>
    <row r="119" spans="1:26" ht="12.75">
      <c r="A119" s="393"/>
      <c r="B119" s="390"/>
      <c r="C119" s="590" t="s">
        <v>290</v>
      </c>
      <c r="D119" s="390"/>
      <c r="I119" s="425">
        <f>ELITE!H7</f>
        <v>0</v>
      </c>
      <c r="J119" s="408">
        <f>ELITE!H19</f>
        <v>0</v>
      </c>
      <c r="K119" s="425">
        <v>1</v>
      </c>
      <c r="L119" s="425">
        <f t="shared" si="15"/>
        <v>0</v>
      </c>
      <c r="M119" s="467" t="str">
        <f>C21</f>
        <v>0.5</v>
      </c>
      <c r="N119" s="468">
        <f t="shared" si="16"/>
        <v>0</v>
      </c>
      <c r="O119" s="467">
        <f>G26</f>
        <v>0.5</v>
      </c>
      <c r="P119" s="467">
        <f t="shared" si="17"/>
        <v>0</v>
      </c>
      <c r="Q119" s="467">
        <f>K20</f>
        <v>1.142857142857143</v>
      </c>
      <c r="R119" s="467">
        <v>1</v>
      </c>
      <c r="S119" s="468">
        <f t="shared" si="18"/>
        <v>0</v>
      </c>
      <c r="T119" s="601"/>
      <c r="U119" s="602"/>
      <c r="V119" s="602"/>
      <c r="W119" s="609">
        <f>S119</f>
        <v>0</v>
      </c>
      <c r="X119" s="580"/>
      <c r="Y119" s="602"/>
      <c r="Z119" s="603"/>
    </row>
    <row r="120" spans="1:26" ht="12.75">
      <c r="A120" s="393"/>
      <c r="B120" s="390"/>
      <c r="C120" s="590" t="s">
        <v>432</v>
      </c>
      <c r="D120" s="390"/>
      <c r="I120" s="425">
        <f>ELITE!H5+ELITE!H8</f>
        <v>0</v>
      </c>
      <c r="J120" s="408">
        <f>ELITE!H20</f>
        <v>0</v>
      </c>
      <c r="K120" s="425">
        <v>2</v>
      </c>
      <c r="L120" s="425">
        <f t="shared" si="15"/>
        <v>0</v>
      </c>
      <c r="M120" s="467">
        <f>C18</f>
        <v>1.6666666666666665</v>
      </c>
      <c r="N120" s="468">
        <f t="shared" si="16"/>
        <v>0</v>
      </c>
      <c r="O120" s="467">
        <f>G21</f>
        <v>1.7857142857142858</v>
      </c>
      <c r="P120" s="467">
        <f t="shared" si="17"/>
        <v>0</v>
      </c>
      <c r="Q120" s="467">
        <f>Q109</f>
        <v>0.5714285714285715</v>
      </c>
      <c r="R120" s="467">
        <v>0.6666666666666666</v>
      </c>
      <c r="S120" s="468">
        <f t="shared" si="18"/>
        <v>0</v>
      </c>
      <c r="T120" s="601"/>
      <c r="U120" s="602"/>
      <c r="V120" s="602"/>
      <c r="W120" s="609"/>
      <c r="X120" s="611">
        <f>S120</f>
        <v>0</v>
      </c>
      <c r="Y120" s="602"/>
      <c r="Z120" s="603"/>
    </row>
    <row r="121" spans="1:26" ht="15.75">
      <c r="A121" s="393">
        <v>2</v>
      </c>
      <c r="B121" s="424" t="s">
        <v>301</v>
      </c>
      <c r="C121" s="390"/>
      <c r="D121" s="390"/>
      <c r="I121" s="425"/>
      <c r="J121" s="408"/>
      <c r="K121" s="425"/>
      <c r="L121" s="425">
        <f t="shared" si="15"/>
        <v>0</v>
      </c>
      <c r="M121" s="467"/>
      <c r="N121" s="468">
        <f t="shared" si="16"/>
        <v>0</v>
      </c>
      <c r="O121" s="467"/>
      <c r="P121" s="467">
        <f t="shared" si="17"/>
        <v>0</v>
      </c>
      <c r="Q121" s="467"/>
      <c r="R121" s="467"/>
      <c r="S121" s="468">
        <f t="shared" si="18"/>
        <v>0</v>
      </c>
      <c r="T121" s="601"/>
      <c r="U121" s="602"/>
      <c r="V121" s="602"/>
      <c r="W121" s="602"/>
      <c r="X121" s="609"/>
      <c r="Y121" s="602"/>
      <c r="Z121" s="603"/>
    </row>
    <row r="122" spans="1:26" ht="15.75">
      <c r="A122" s="393"/>
      <c r="B122" s="424"/>
      <c r="C122" s="590" t="s">
        <v>113</v>
      </c>
      <c r="D122" s="390"/>
      <c r="I122" s="425">
        <f>ELITE!H23</f>
        <v>0</v>
      </c>
      <c r="J122" s="408"/>
      <c r="K122" s="425">
        <v>1</v>
      </c>
      <c r="L122" s="425">
        <f t="shared" si="15"/>
        <v>0</v>
      </c>
      <c r="M122" s="425">
        <f>M93</f>
        <v>0.8333333333333333</v>
      </c>
      <c r="N122" s="468">
        <f t="shared" si="16"/>
        <v>0</v>
      </c>
      <c r="O122" s="425">
        <f>O93</f>
        <v>1.0714285714285714</v>
      </c>
      <c r="P122" s="467">
        <f t="shared" si="17"/>
        <v>0</v>
      </c>
      <c r="Q122" s="425">
        <f>Q93</f>
        <v>0.5714285714285715</v>
      </c>
      <c r="R122" s="425">
        <v>0.6666666666666666</v>
      </c>
      <c r="S122" s="468">
        <f t="shared" si="18"/>
        <v>0</v>
      </c>
      <c r="T122" s="601"/>
      <c r="U122" s="602"/>
      <c r="V122" s="602"/>
      <c r="W122" s="602"/>
      <c r="X122" s="609">
        <f>S122</f>
        <v>0</v>
      </c>
      <c r="Y122" s="602"/>
      <c r="Z122" s="603"/>
    </row>
    <row r="123" spans="1:26" ht="15.75">
      <c r="A123" s="393"/>
      <c r="B123" s="424"/>
      <c r="C123" s="390" t="s">
        <v>274</v>
      </c>
      <c r="D123" s="390"/>
      <c r="I123" s="425">
        <f>ELITE!H24+ELITE!H27</f>
        <v>0</v>
      </c>
      <c r="J123" s="408"/>
      <c r="K123" s="425">
        <v>1</v>
      </c>
      <c r="L123" s="425">
        <f t="shared" si="15"/>
        <v>0</v>
      </c>
      <c r="M123" s="425">
        <f>M94</f>
        <v>0.8333333333333333</v>
      </c>
      <c r="N123" s="468">
        <f t="shared" si="16"/>
        <v>0</v>
      </c>
      <c r="O123" s="425">
        <f>O94</f>
        <v>1.0714285714285714</v>
      </c>
      <c r="P123" s="467">
        <f t="shared" si="17"/>
        <v>0</v>
      </c>
      <c r="Q123" s="425">
        <f>Q94</f>
        <v>2.571428571428571</v>
      </c>
      <c r="R123" s="425">
        <v>0.6666666666666666</v>
      </c>
      <c r="S123" s="468">
        <f t="shared" si="18"/>
        <v>0</v>
      </c>
      <c r="T123" s="601"/>
      <c r="U123" s="604">
        <f>S123</f>
        <v>0</v>
      </c>
      <c r="V123" s="602"/>
      <c r="W123" s="602"/>
      <c r="X123" s="609"/>
      <c r="Y123" s="602"/>
      <c r="Z123" s="603"/>
    </row>
    <row r="124" spans="1:26" ht="15.75">
      <c r="A124" s="393"/>
      <c r="B124" s="424"/>
      <c r="C124" s="390" t="s">
        <v>416</v>
      </c>
      <c r="D124" s="390"/>
      <c r="I124" s="425">
        <f>ELITE!H25+ELITE!H28</f>
        <v>0</v>
      </c>
      <c r="J124" s="408"/>
      <c r="K124" s="425">
        <v>1.5</v>
      </c>
      <c r="L124" s="425">
        <f t="shared" si="15"/>
        <v>0</v>
      </c>
      <c r="M124" s="425">
        <f>M95</f>
        <v>1.25</v>
      </c>
      <c r="N124" s="468">
        <f t="shared" si="16"/>
        <v>0</v>
      </c>
      <c r="O124" s="425">
        <f>O95</f>
        <v>1.4285714285714284</v>
      </c>
      <c r="P124" s="467">
        <f t="shared" si="17"/>
        <v>0</v>
      </c>
      <c r="Q124" s="425">
        <f>Q95</f>
        <v>0.5714285714285715</v>
      </c>
      <c r="R124" s="425">
        <v>0.6666666666666666</v>
      </c>
      <c r="S124" s="468">
        <f t="shared" si="18"/>
        <v>0</v>
      </c>
      <c r="T124" s="601"/>
      <c r="U124" s="602"/>
      <c r="V124" s="602"/>
      <c r="W124" s="602"/>
      <c r="X124" s="609">
        <f>S124</f>
        <v>0</v>
      </c>
      <c r="Y124" s="602"/>
      <c r="Z124" s="603"/>
    </row>
    <row r="125" spans="1:26" ht="15.75">
      <c r="A125" s="393"/>
      <c r="B125" s="424"/>
      <c r="C125" s="390" t="s">
        <v>434</v>
      </c>
      <c r="D125" s="390"/>
      <c r="I125" s="425">
        <f>ELITE!H26+ELITE!H28+ELITE!H27</f>
        <v>0</v>
      </c>
      <c r="J125" s="408"/>
      <c r="K125" s="425">
        <v>1</v>
      </c>
      <c r="L125" s="425">
        <f t="shared" si="15"/>
        <v>0</v>
      </c>
      <c r="M125" s="425">
        <f>M94</f>
        <v>0.8333333333333333</v>
      </c>
      <c r="N125" s="468">
        <f t="shared" si="16"/>
        <v>0</v>
      </c>
      <c r="O125" s="425">
        <f>O94</f>
        <v>1.0714285714285714</v>
      </c>
      <c r="P125" s="467">
        <f t="shared" si="17"/>
        <v>0</v>
      </c>
      <c r="Q125" s="425">
        <f>Q94</f>
        <v>2.571428571428571</v>
      </c>
      <c r="R125" s="468">
        <v>0.8888888888888888</v>
      </c>
      <c r="S125" s="468">
        <f t="shared" si="18"/>
        <v>0</v>
      </c>
      <c r="T125" s="601"/>
      <c r="U125" s="604">
        <f>S125</f>
        <v>0</v>
      </c>
      <c r="V125" s="602"/>
      <c r="W125" s="602"/>
      <c r="X125" s="609"/>
      <c r="Y125" s="602"/>
      <c r="Z125" s="603"/>
    </row>
    <row r="126" spans="1:26" ht="15.75">
      <c r="A126" s="393"/>
      <c r="B126" s="424"/>
      <c r="C126" s="390" t="s">
        <v>280</v>
      </c>
      <c r="D126" s="390"/>
      <c r="I126" s="425">
        <f>ELITE!H26</f>
        <v>0</v>
      </c>
      <c r="J126" s="408"/>
      <c r="K126" s="425">
        <v>1</v>
      </c>
      <c r="L126" s="425">
        <f t="shared" si="15"/>
        <v>0</v>
      </c>
      <c r="M126" s="425" t="str">
        <f>M98</f>
        <v>0.5</v>
      </c>
      <c r="N126" s="468">
        <f t="shared" si="16"/>
        <v>0</v>
      </c>
      <c r="O126" s="425">
        <f>O98</f>
        <v>0.5</v>
      </c>
      <c r="P126" s="467">
        <f t="shared" si="17"/>
        <v>0</v>
      </c>
      <c r="Q126" s="425">
        <f>Q98</f>
        <v>0.5714285714285715</v>
      </c>
      <c r="R126" s="425">
        <v>1</v>
      </c>
      <c r="S126" s="468">
        <f t="shared" si="18"/>
        <v>0</v>
      </c>
      <c r="T126" s="601"/>
      <c r="U126" s="602"/>
      <c r="V126" s="602"/>
      <c r="W126" s="602"/>
      <c r="X126" s="609">
        <f>S126</f>
        <v>0</v>
      </c>
      <c r="Y126" s="602"/>
      <c r="Z126" s="603"/>
    </row>
    <row r="127" spans="1:26" ht="15.75">
      <c r="A127" s="393"/>
      <c r="B127" s="424"/>
      <c r="C127" s="390" t="s">
        <v>435</v>
      </c>
      <c r="D127" s="390"/>
      <c r="I127" s="425">
        <f>ELITE!H29</f>
        <v>0</v>
      </c>
      <c r="J127" s="408"/>
      <c r="K127" s="425">
        <v>3</v>
      </c>
      <c r="L127" s="425">
        <f t="shared" si="15"/>
        <v>0</v>
      </c>
      <c r="M127" s="425">
        <f>M99</f>
        <v>2.5</v>
      </c>
      <c r="N127" s="468">
        <f t="shared" si="16"/>
        <v>0</v>
      </c>
      <c r="O127" s="425">
        <f>O99</f>
        <v>0</v>
      </c>
      <c r="P127" s="467">
        <f t="shared" si="17"/>
        <v>0</v>
      </c>
      <c r="Q127" s="468">
        <f>Q99</f>
        <v>1.142857142857143</v>
      </c>
      <c r="R127" s="468">
        <v>0.6666666666666666</v>
      </c>
      <c r="S127" s="468">
        <f t="shared" si="18"/>
        <v>0</v>
      </c>
      <c r="T127" s="601"/>
      <c r="U127" s="602"/>
      <c r="V127" s="602"/>
      <c r="W127" s="602">
        <f>S127</f>
        <v>0</v>
      </c>
      <c r="X127" s="609"/>
      <c r="Y127" s="602"/>
      <c r="Z127" s="603"/>
    </row>
    <row r="128" spans="1:26" ht="15.75">
      <c r="A128" s="393"/>
      <c r="B128" s="424"/>
      <c r="C128" s="390" t="s">
        <v>439</v>
      </c>
      <c r="D128" s="390"/>
      <c r="I128" s="425">
        <f>ELITE!H30</f>
        <v>0</v>
      </c>
      <c r="J128" s="408"/>
      <c r="K128" s="425">
        <v>1</v>
      </c>
      <c r="L128" s="425">
        <f t="shared" si="15"/>
        <v>0</v>
      </c>
      <c r="M128" s="425">
        <f>M100</f>
        <v>1.6666666666666665</v>
      </c>
      <c r="N128" s="468">
        <f t="shared" si="16"/>
        <v>0</v>
      </c>
      <c r="O128" s="425">
        <f>O100</f>
        <v>0</v>
      </c>
      <c r="P128" s="467">
        <f t="shared" si="17"/>
        <v>0</v>
      </c>
      <c r="Q128" s="468">
        <f>Q100</f>
        <v>3.4285714285714284</v>
      </c>
      <c r="R128" s="468">
        <v>0.6666666666666666</v>
      </c>
      <c r="S128" s="468">
        <f t="shared" si="18"/>
        <v>0</v>
      </c>
      <c r="T128" s="601">
        <f>S128</f>
        <v>0</v>
      </c>
      <c r="U128" s="602"/>
      <c r="V128" s="602"/>
      <c r="W128" s="602"/>
      <c r="X128" s="609"/>
      <c r="Y128" s="602"/>
      <c r="Z128" s="603"/>
    </row>
    <row r="129" spans="1:26" ht="15.75">
      <c r="A129" s="393"/>
      <c r="B129" s="424"/>
      <c r="C129" s="390" t="s">
        <v>436</v>
      </c>
      <c r="D129" s="390"/>
      <c r="I129" s="425">
        <f>ELITE!H31</f>
        <v>0</v>
      </c>
      <c r="J129" s="408"/>
      <c r="K129" s="425">
        <v>1</v>
      </c>
      <c r="L129" s="425">
        <f t="shared" si="15"/>
        <v>0</v>
      </c>
      <c r="M129" s="425">
        <f>M101</f>
        <v>2.5</v>
      </c>
      <c r="N129" s="468">
        <f t="shared" si="16"/>
        <v>0</v>
      </c>
      <c r="O129" s="425">
        <f>O101</f>
        <v>0</v>
      </c>
      <c r="P129" s="467">
        <f t="shared" si="17"/>
        <v>0</v>
      </c>
      <c r="Q129" s="468">
        <f>Q101</f>
        <v>2.571428571428571</v>
      </c>
      <c r="R129" s="468">
        <v>0.43209876543209874</v>
      </c>
      <c r="S129" s="468">
        <f t="shared" si="18"/>
        <v>0</v>
      </c>
      <c r="T129" s="601"/>
      <c r="U129" s="602">
        <f>S129</f>
        <v>0</v>
      </c>
      <c r="V129" s="602"/>
      <c r="W129" s="602"/>
      <c r="X129" s="609"/>
      <c r="Y129" s="602"/>
      <c r="Z129" s="603"/>
    </row>
    <row r="130" spans="1:26" ht="15.75">
      <c r="A130" s="393">
        <v>3</v>
      </c>
      <c r="B130" s="424" t="s">
        <v>307</v>
      </c>
      <c r="C130" s="390"/>
      <c r="D130" s="390"/>
      <c r="I130" s="425"/>
      <c r="J130" s="408"/>
      <c r="K130" s="425"/>
      <c r="L130" s="425"/>
      <c r="M130" s="425"/>
      <c r="N130" s="468"/>
      <c r="O130" s="425"/>
      <c r="P130" s="467"/>
      <c r="Q130" s="468"/>
      <c r="R130" s="468"/>
      <c r="S130" s="468"/>
      <c r="T130" s="601"/>
      <c r="U130" s="602"/>
      <c r="V130" s="602"/>
      <c r="W130" s="602"/>
      <c r="X130" s="609"/>
      <c r="Y130" s="602"/>
      <c r="Z130" s="603"/>
    </row>
    <row r="131" spans="1:26" ht="15.75">
      <c r="A131" s="111"/>
      <c r="B131" s="424"/>
      <c r="C131" s="590" t="s">
        <v>113</v>
      </c>
      <c r="D131" s="390"/>
      <c r="I131" s="425">
        <f>ELITE!H34</f>
        <v>0</v>
      </c>
      <c r="J131" s="408"/>
      <c r="K131" s="425">
        <v>1</v>
      </c>
      <c r="L131" s="425">
        <f aca="true" t="shared" si="19" ref="L131:L137">K131*(I131+J131)</f>
        <v>0</v>
      </c>
      <c r="M131" s="425">
        <f>M122</f>
        <v>0.8333333333333333</v>
      </c>
      <c r="N131" s="468">
        <f aca="true" t="shared" si="20" ref="N131:N137">L131*M131</f>
        <v>0</v>
      </c>
      <c r="O131" s="425">
        <f>O122</f>
        <v>1.0714285714285714</v>
      </c>
      <c r="P131" s="467">
        <f aca="true" t="shared" si="21" ref="P131:P137">L131*O131</f>
        <v>0</v>
      </c>
      <c r="Q131" s="425">
        <f>Q122</f>
        <v>0.5714285714285715</v>
      </c>
      <c r="R131" s="425">
        <v>0.6666666666666666</v>
      </c>
      <c r="S131" s="468">
        <f aca="true" t="shared" si="22" ref="S131:S137">L131*Q131*R131</f>
        <v>0</v>
      </c>
      <c r="T131" s="601"/>
      <c r="U131" s="602"/>
      <c r="V131" s="602"/>
      <c r="W131" s="602"/>
      <c r="X131" s="609">
        <f>S131</f>
        <v>0</v>
      </c>
      <c r="Y131" s="602"/>
      <c r="Z131" s="603"/>
    </row>
    <row r="132" spans="1:26" ht="15.75">
      <c r="A132" s="111"/>
      <c r="B132" s="424"/>
      <c r="C132" s="390" t="s">
        <v>274</v>
      </c>
      <c r="D132" s="390"/>
      <c r="I132" s="425">
        <f>ELITE!H35</f>
        <v>0</v>
      </c>
      <c r="J132" s="408"/>
      <c r="K132" s="425">
        <v>1</v>
      </c>
      <c r="L132" s="425">
        <f t="shared" si="19"/>
        <v>0</v>
      </c>
      <c r="M132" s="425">
        <f>M123</f>
        <v>0.8333333333333333</v>
      </c>
      <c r="N132" s="468">
        <f t="shared" si="20"/>
        <v>0</v>
      </c>
      <c r="O132" s="425">
        <f>O123</f>
        <v>1.0714285714285714</v>
      </c>
      <c r="P132" s="467">
        <f t="shared" si="21"/>
        <v>0</v>
      </c>
      <c r="Q132" s="425">
        <f>Q123</f>
        <v>2.571428571428571</v>
      </c>
      <c r="R132" s="425">
        <v>0.6666666666666666</v>
      </c>
      <c r="S132" s="468">
        <f t="shared" si="22"/>
        <v>0</v>
      </c>
      <c r="T132" s="601"/>
      <c r="U132" s="604">
        <f>S132</f>
        <v>0</v>
      </c>
      <c r="V132" s="602"/>
      <c r="W132" s="602"/>
      <c r="X132" s="609"/>
      <c r="Y132" s="602"/>
      <c r="Z132" s="603"/>
    </row>
    <row r="133" spans="1:26" ht="15.75">
      <c r="A133" s="111"/>
      <c r="B133" s="424"/>
      <c r="C133" s="390" t="s">
        <v>416</v>
      </c>
      <c r="D133" s="390"/>
      <c r="I133" s="425">
        <f>ELITE!H36</f>
        <v>0</v>
      </c>
      <c r="J133" s="408"/>
      <c r="K133" s="425">
        <v>1.5</v>
      </c>
      <c r="L133" s="425">
        <f t="shared" si="19"/>
        <v>0</v>
      </c>
      <c r="M133" s="425">
        <f>M124</f>
        <v>1.25</v>
      </c>
      <c r="N133" s="468">
        <f t="shared" si="20"/>
        <v>0</v>
      </c>
      <c r="O133" s="425">
        <f>O124</f>
        <v>1.4285714285714284</v>
      </c>
      <c r="P133" s="467">
        <f t="shared" si="21"/>
        <v>0</v>
      </c>
      <c r="Q133" s="425">
        <f>Q124</f>
        <v>0.5714285714285715</v>
      </c>
      <c r="R133" s="425">
        <v>0.6666666666666666</v>
      </c>
      <c r="S133" s="468">
        <f t="shared" si="22"/>
        <v>0</v>
      </c>
      <c r="T133" s="601"/>
      <c r="U133" s="602"/>
      <c r="V133" s="602"/>
      <c r="W133" s="602"/>
      <c r="X133" s="609">
        <f>S133</f>
        <v>0</v>
      </c>
      <c r="Y133" s="602"/>
      <c r="Z133" s="603"/>
    </row>
    <row r="134" spans="1:26" ht="15.75">
      <c r="A134" s="111"/>
      <c r="B134" s="424"/>
      <c r="C134" s="390" t="s">
        <v>437</v>
      </c>
      <c r="D134" s="390"/>
      <c r="I134" s="425">
        <f>ELITE!H37</f>
        <v>0</v>
      </c>
      <c r="J134" s="408"/>
      <c r="K134" s="425">
        <v>2</v>
      </c>
      <c r="L134" s="425">
        <f t="shared" si="19"/>
        <v>0</v>
      </c>
      <c r="M134" s="468">
        <f>C20</f>
        <v>0.8333333333333333</v>
      </c>
      <c r="N134" s="468">
        <f t="shared" si="20"/>
        <v>0</v>
      </c>
      <c r="O134" s="468">
        <f>G23</f>
        <v>1.0714285714285714</v>
      </c>
      <c r="P134" s="467">
        <f t="shared" si="21"/>
        <v>0</v>
      </c>
      <c r="Q134" s="468">
        <f>K21</f>
        <v>0.5714285714285715</v>
      </c>
      <c r="R134" s="468">
        <v>0.6666666666666666</v>
      </c>
      <c r="S134" s="468">
        <f t="shared" si="22"/>
        <v>0</v>
      </c>
      <c r="T134" s="601"/>
      <c r="U134" s="602"/>
      <c r="V134" s="602"/>
      <c r="W134" s="602"/>
      <c r="X134" s="609"/>
      <c r="Y134" s="602"/>
      <c r="Z134" s="612">
        <f>S134</f>
        <v>0</v>
      </c>
    </row>
    <row r="135" spans="1:26" ht="15.75">
      <c r="A135" s="111"/>
      <c r="B135" s="424"/>
      <c r="C135" s="390" t="s">
        <v>438</v>
      </c>
      <c r="D135" s="390"/>
      <c r="I135" s="425">
        <f>ELITE!H38</f>
        <v>0</v>
      </c>
      <c r="J135" s="408"/>
      <c r="K135" s="425">
        <v>1</v>
      </c>
      <c r="L135" s="425">
        <f t="shared" si="19"/>
        <v>0</v>
      </c>
      <c r="M135" s="468">
        <f>C16</f>
        <v>2.5</v>
      </c>
      <c r="N135" s="468">
        <f t="shared" si="20"/>
        <v>0</v>
      </c>
      <c r="O135" s="425">
        <f>G27</f>
        <v>0</v>
      </c>
      <c r="P135" s="467">
        <f t="shared" si="21"/>
        <v>0</v>
      </c>
      <c r="Q135" s="468">
        <f>L29</f>
        <v>2.5714285714285716</v>
      </c>
      <c r="R135" s="468">
        <v>0.6666666666666666</v>
      </c>
      <c r="S135" s="468">
        <f t="shared" si="22"/>
        <v>0</v>
      </c>
      <c r="T135" s="601"/>
      <c r="U135" s="602">
        <f>S135*1/6</f>
        <v>0</v>
      </c>
      <c r="V135" s="602"/>
      <c r="W135" s="602"/>
      <c r="X135" s="609"/>
      <c r="Y135" s="602">
        <f>S135*5/6</f>
        <v>0</v>
      </c>
      <c r="Z135" s="603"/>
    </row>
    <row r="136" spans="1:26" ht="15.75">
      <c r="A136" s="111"/>
      <c r="B136" s="424"/>
      <c r="C136" s="390" t="s">
        <v>309</v>
      </c>
      <c r="D136" s="390"/>
      <c r="I136" s="425">
        <f>ELITE!H39</f>
        <v>0</v>
      </c>
      <c r="J136" s="408"/>
      <c r="K136" s="425">
        <v>3</v>
      </c>
      <c r="L136" s="425">
        <f t="shared" si="19"/>
        <v>0</v>
      </c>
      <c r="M136" s="425">
        <f>M99</f>
        <v>2.5</v>
      </c>
      <c r="N136" s="468">
        <f t="shared" si="20"/>
        <v>0</v>
      </c>
      <c r="O136" s="425">
        <f>O99</f>
        <v>0</v>
      </c>
      <c r="P136" s="467">
        <f t="shared" si="21"/>
        <v>0</v>
      </c>
      <c r="Q136" s="425">
        <f>Q99</f>
        <v>1.142857142857143</v>
      </c>
      <c r="R136" s="425">
        <v>0.6666666666666666</v>
      </c>
      <c r="S136" s="468">
        <f t="shared" si="22"/>
        <v>0</v>
      </c>
      <c r="T136" s="601"/>
      <c r="U136" s="602"/>
      <c r="V136" s="602"/>
      <c r="W136" s="604">
        <f>S136</f>
        <v>0</v>
      </c>
      <c r="X136" s="609"/>
      <c r="Y136" s="602"/>
      <c r="Z136" s="603"/>
    </row>
    <row r="137" spans="1:26" ht="15.75">
      <c r="A137" s="111"/>
      <c r="B137" s="424"/>
      <c r="C137" s="390" t="s">
        <v>299</v>
      </c>
      <c r="D137" s="390"/>
      <c r="I137" s="425">
        <f>ELITE!H40</f>
        <v>0</v>
      </c>
      <c r="J137" s="408"/>
      <c r="K137" s="425">
        <v>1</v>
      </c>
      <c r="L137" s="425">
        <f t="shared" si="19"/>
        <v>0</v>
      </c>
      <c r="M137" s="425">
        <f>M102</f>
        <v>3.333333333333333</v>
      </c>
      <c r="N137" s="468">
        <f t="shared" si="20"/>
        <v>0</v>
      </c>
      <c r="O137" s="425">
        <f>O102</f>
        <v>0</v>
      </c>
      <c r="P137" s="467">
        <f t="shared" si="21"/>
        <v>0</v>
      </c>
      <c r="Q137" s="468">
        <f>Q102</f>
        <v>3.4285714285714284</v>
      </c>
      <c r="R137" s="425">
        <f>R136</f>
        <v>0.6666666666666666</v>
      </c>
      <c r="S137" s="468">
        <f t="shared" si="22"/>
        <v>0</v>
      </c>
      <c r="T137" s="601"/>
      <c r="U137" s="602"/>
      <c r="V137" s="604">
        <f>S137</f>
        <v>0</v>
      </c>
      <c r="W137" s="602"/>
      <c r="X137" s="609"/>
      <c r="Z137" s="603"/>
    </row>
    <row r="138" spans="1:26" ht="15.75">
      <c r="A138" s="393">
        <v>4</v>
      </c>
      <c r="B138" s="424" t="s">
        <v>308</v>
      </c>
      <c r="C138" s="390"/>
      <c r="D138" s="390"/>
      <c r="I138" s="425"/>
      <c r="J138" s="408"/>
      <c r="K138" s="425"/>
      <c r="L138" s="425"/>
      <c r="M138" s="425"/>
      <c r="N138" s="468"/>
      <c r="O138" s="425"/>
      <c r="P138" s="467"/>
      <c r="Q138" s="425"/>
      <c r="R138" s="425"/>
      <c r="S138" s="468"/>
      <c r="T138" s="601"/>
      <c r="U138" s="602"/>
      <c r="V138" s="602"/>
      <c r="W138" s="602"/>
      <c r="X138" s="609"/>
      <c r="Y138" s="604"/>
      <c r="Z138" s="603"/>
    </row>
    <row r="139" spans="1:26" ht="15.75">
      <c r="A139" s="111"/>
      <c r="B139" s="424"/>
      <c r="C139" s="390" t="s">
        <v>113</v>
      </c>
      <c r="D139" s="390"/>
      <c r="I139" s="425">
        <f>ELITE!H46</f>
        <v>0</v>
      </c>
      <c r="J139" s="408"/>
      <c r="K139" s="425">
        <v>1</v>
      </c>
      <c r="L139" s="425">
        <f aca="true" t="shared" si="23" ref="L139:L150">K139*(I139+J139)</f>
        <v>0</v>
      </c>
      <c r="M139" s="425">
        <f aca="true" t="shared" si="24" ref="M139:M149">M93</f>
        <v>0.8333333333333333</v>
      </c>
      <c r="N139" s="468">
        <f aca="true" t="shared" si="25" ref="N139:N150">L139*M139</f>
        <v>0</v>
      </c>
      <c r="O139" s="425">
        <f aca="true" t="shared" si="26" ref="O139:O149">O93</f>
        <v>1.0714285714285714</v>
      </c>
      <c r="P139" s="467">
        <f aca="true" t="shared" si="27" ref="P139:P150">L139*O139</f>
        <v>0</v>
      </c>
      <c r="Q139" s="425">
        <f aca="true" t="shared" si="28" ref="Q139:Q149">Q93</f>
        <v>0.5714285714285715</v>
      </c>
      <c r="R139" s="425">
        <v>0.6666666666666666</v>
      </c>
      <c r="S139" s="468">
        <f aca="true" t="shared" si="29" ref="S139:S150">L139*Q139*R139</f>
        <v>0</v>
      </c>
      <c r="T139" s="601"/>
      <c r="U139" s="602"/>
      <c r="V139" s="602"/>
      <c r="W139" s="602"/>
      <c r="X139" s="609">
        <f>S139</f>
        <v>0</v>
      </c>
      <c r="Y139" s="604"/>
      <c r="Z139" s="603"/>
    </row>
    <row r="140" spans="1:26" ht="15.75">
      <c r="A140" s="111"/>
      <c r="B140" s="424"/>
      <c r="C140" s="390" t="s">
        <v>274</v>
      </c>
      <c r="D140" s="390"/>
      <c r="I140" s="425">
        <f>ELITE!H48+ELITE!H72+ELITE!H73+ELITE!H50</f>
        <v>0</v>
      </c>
      <c r="J140" s="408"/>
      <c r="K140" s="425">
        <v>1</v>
      </c>
      <c r="L140" s="425">
        <f t="shared" si="23"/>
        <v>0</v>
      </c>
      <c r="M140" s="425">
        <f t="shared" si="24"/>
        <v>0.8333333333333333</v>
      </c>
      <c r="N140" s="468">
        <f t="shared" si="25"/>
        <v>0</v>
      </c>
      <c r="O140" s="425">
        <f t="shared" si="26"/>
        <v>1.0714285714285714</v>
      </c>
      <c r="P140" s="467">
        <f t="shared" si="27"/>
        <v>0</v>
      </c>
      <c r="Q140" s="425">
        <f t="shared" si="28"/>
        <v>2.571428571428571</v>
      </c>
      <c r="R140" s="425">
        <v>0.6666666666666666</v>
      </c>
      <c r="S140" s="468">
        <f t="shared" si="29"/>
        <v>0</v>
      </c>
      <c r="T140" s="601"/>
      <c r="U140" s="604">
        <f>S140</f>
        <v>0</v>
      </c>
      <c r="V140" s="602"/>
      <c r="W140" s="602"/>
      <c r="X140" s="609"/>
      <c r="Y140" s="604"/>
      <c r="Z140" s="603"/>
    </row>
    <row r="141" spans="1:26" ht="15.75">
      <c r="A141" s="111"/>
      <c r="B141" s="424"/>
      <c r="C141" s="390" t="s">
        <v>416</v>
      </c>
      <c r="D141" s="390"/>
      <c r="I141" s="425">
        <f>ELITE!H47+ELITE!H82+ELITE!H49</f>
        <v>0</v>
      </c>
      <c r="J141" s="408"/>
      <c r="K141" s="425">
        <v>1.5</v>
      </c>
      <c r="L141" s="425">
        <f t="shared" si="23"/>
        <v>0</v>
      </c>
      <c r="M141" s="425">
        <f t="shared" si="24"/>
        <v>1.25</v>
      </c>
      <c r="N141" s="468">
        <f t="shared" si="25"/>
        <v>0</v>
      </c>
      <c r="O141" s="425">
        <f t="shared" si="26"/>
        <v>1.4285714285714284</v>
      </c>
      <c r="P141" s="467">
        <f t="shared" si="27"/>
        <v>0</v>
      </c>
      <c r="Q141" s="425">
        <f t="shared" si="28"/>
        <v>0.5714285714285715</v>
      </c>
      <c r="R141" s="425">
        <v>0.6666666666666666</v>
      </c>
      <c r="S141" s="468">
        <f t="shared" si="29"/>
        <v>0</v>
      </c>
      <c r="T141" s="601"/>
      <c r="U141" s="602"/>
      <c r="V141" s="602"/>
      <c r="W141" s="602"/>
      <c r="X141" s="609">
        <f>S141</f>
        <v>0</v>
      </c>
      <c r="Y141" s="604"/>
      <c r="Z141" s="603"/>
    </row>
    <row r="142" spans="1:26" ht="15.75">
      <c r="A142" s="111"/>
      <c r="B142" s="424"/>
      <c r="C142" s="390" t="s">
        <v>426</v>
      </c>
      <c r="D142" s="390"/>
      <c r="I142" s="425">
        <f>ELITE!H51+ELITE!H57+ELITE!H66+ELITE!H75+ELITE!H84</f>
        <v>0</v>
      </c>
      <c r="J142" s="408"/>
      <c r="K142" s="425">
        <v>1.5</v>
      </c>
      <c r="L142" s="425">
        <f t="shared" si="23"/>
        <v>0</v>
      </c>
      <c r="M142" s="425">
        <f t="shared" si="24"/>
        <v>1.25</v>
      </c>
      <c r="N142" s="468">
        <f t="shared" si="25"/>
        <v>0</v>
      </c>
      <c r="O142" s="425">
        <f t="shared" si="26"/>
        <v>1.4285714285714284</v>
      </c>
      <c r="P142" s="467">
        <f t="shared" si="27"/>
        <v>0</v>
      </c>
      <c r="Q142" s="425">
        <f t="shared" si="28"/>
        <v>2.571428571428571</v>
      </c>
      <c r="R142" s="425">
        <v>0.6666666666666666</v>
      </c>
      <c r="S142" s="468">
        <f t="shared" si="29"/>
        <v>0</v>
      </c>
      <c r="T142" s="601"/>
      <c r="U142" s="604">
        <f>S142</f>
        <v>0</v>
      </c>
      <c r="V142" s="602"/>
      <c r="W142" s="602"/>
      <c r="X142" s="609"/>
      <c r="Y142" s="604"/>
      <c r="Z142" s="603"/>
    </row>
    <row r="143" spans="1:26" ht="15.75">
      <c r="A143" s="111"/>
      <c r="B143" s="424"/>
      <c r="C143" s="390" t="s">
        <v>427</v>
      </c>
      <c r="D143" s="390"/>
      <c r="I143" s="425">
        <f>ELITE!H56+ELITE!H65+ELITE!H74+ELITE!H83+ELITE!H52</f>
        <v>0</v>
      </c>
      <c r="J143" s="408"/>
      <c r="K143" s="425">
        <v>1</v>
      </c>
      <c r="L143" s="425">
        <f t="shared" si="23"/>
        <v>0</v>
      </c>
      <c r="M143" s="425">
        <f t="shared" si="24"/>
        <v>0.8333333333333333</v>
      </c>
      <c r="N143" s="468">
        <f t="shared" si="25"/>
        <v>0</v>
      </c>
      <c r="O143" s="425">
        <f t="shared" si="26"/>
        <v>1.0714285714285714</v>
      </c>
      <c r="P143" s="467">
        <f t="shared" si="27"/>
        <v>0</v>
      </c>
      <c r="Q143" s="425">
        <f t="shared" si="28"/>
        <v>3.4285714285714284</v>
      </c>
      <c r="R143" s="425">
        <v>0.6666666666666666</v>
      </c>
      <c r="S143" s="468">
        <f t="shared" si="29"/>
        <v>0</v>
      </c>
      <c r="T143" s="610">
        <f>S143</f>
        <v>0</v>
      </c>
      <c r="U143" s="602"/>
      <c r="V143" s="602"/>
      <c r="W143" s="602"/>
      <c r="X143" s="609"/>
      <c r="Y143" s="604"/>
      <c r="Z143" s="603"/>
    </row>
    <row r="144" spans="1:26" ht="15.75">
      <c r="A144" s="111"/>
      <c r="B144" s="424"/>
      <c r="C144" s="390" t="s">
        <v>280</v>
      </c>
      <c r="D144" s="390"/>
      <c r="I144" s="425">
        <f>ELITE!H53+ELITE!H55+ELITE!H64</f>
        <v>0</v>
      </c>
      <c r="J144" s="408"/>
      <c r="K144" s="425">
        <v>1</v>
      </c>
      <c r="L144" s="425">
        <f t="shared" si="23"/>
        <v>0</v>
      </c>
      <c r="M144" s="425" t="str">
        <f t="shared" si="24"/>
        <v>0.5</v>
      </c>
      <c r="N144" s="468">
        <f t="shared" si="25"/>
        <v>0</v>
      </c>
      <c r="O144" s="425">
        <f t="shared" si="26"/>
        <v>0.5</v>
      </c>
      <c r="P144" s="467">
        <f t="shared" si="27"/>
        <v>0</v>
      </c>
      <c r="Q144" s="425">
        <f t="shared" si="28"/>
        <v>0.5714285714285715</v>
      </c>
      <c r="R144" s="425">
        <v>1</v>
      </c>
      <c r="S144" s="468">
        <f t="shared" si="29"/>
        <v>0</v>
      </c>
      <c r="T144" s="601"/>
      <c r="U144" s="602"/>
      <c r="V144" s="602"/>
      <c r="W144" s="602"/>
      <c r="X144" s="609">
        <f>S144</f>
        <v>0</v>
      </c>
      <c r="Y144" s="604"/>
      <c r="Z144" s="603"/>
    </row>
    <row r="145" spans="1:26" ht="15.75">
      <c r="A145" s="111"/>
      <c r="B145" s="424"/>
      <c r="C145" s="390" t="s">
        <v>309</v>
      </c>
      <c r="D145" s="390"/>
      <c r="I145" s="425">
        <f>ELITE!H58+ELITE!H67+ELITE!H76+ELITE!H85</f>
        <v>0</v>
      </c>
      <c r="J145" s="408"/>
      <c r="K145" s="425">
        <v>3</v>
      </c>
      <c r="L145" s="425">
        <f t="shared" si="23"/>
        <v>0</v>
      </c>
      <c r="M145" s="425">
        <f t="shared" si="24"/>
        <v>2.5</v>
      </c>
      <c r="N145" s="468">
        <f t="shared" si="25"/>
        <v>0</v>
      </c>
      <c r="O145" s="425">
        <f t="shared" si="26"/>
        <v>0</v>
      </c>
      <c r="P145" s="467">
        <f t="shared" si="27"/>
        <v>0</v>
      </c>
      <c r="Q145" s="425">
        <f t="shared" si="28"/>
        <v>1.142857142857143</v>
      </c>
      <c r="R145" s="425">
        <v>0.6666666666666666</v>
      </c>
      <c r="S145" s="468">
        <f t="shared" si="29"/>
        <v>0</v>
      </c>
      <c r="T145" s="601"/>
      <c r="U145" s="602"/>
      <c r="V145" s="602"/>
      <c r="W145" s="604">
        <f>S145</f>
        <v>0</v>
      </c>
      <c r="X145" s="609"/>
      <c r="Y145" s="604"/>
      <c r="Z145" s="603"/>
    </row>
    <row r="146" spans="1:26" ht="15.75">
      <c r="A146" s="111"/>
      <c r="B146" s="424"/>
      <c r="C146" s="390" t="s">
        <v>429</v>
      </c>
      <c r="D146" s="390"/>
      <c r="I146" s="425">
        <f>ELITE!H59+ELITE!H68+ELITE!H86+ELITE!H77</f>
        <v>0</v>
      </c>
      <c r="J146" s="408"/>
      <c r="K146" s="425">
        <v>1</v>
      </c>
      <c r="L146" s="425">
        <f t="shared" si="23"/>
        <v>0</v>
      </c>
      <c r="M146" s="425">
        <f t="shared" si="24"/>
        <v>1.6666666666666665</v>
      </c>
      <c r="N146" s="468">
        <f t="shared" si="25"/>
        <v>0</v>
      </c>
      <c r="O146" s="425">
        <f t="shared" si="26"/>
        <v>0</v>
      </c>
      <c r="P146" s="467">
        <f t="shared" si="27"/>
        <v>0</v>
      </c>
      <c r="Q146" s="425">
        <f t="shared" si="28"/>
        <v>3.4285714285714284</v>
      </c>
      <c r="R146" s="425">
        <v>0.6666666666666666</v>
      </c>
      <c r="S146" s="468">
        <f t="shared" si="29"/>
        <v>0</v>
      </c>
      <c r="T146" s="610">
        <f>S146</f>
        <v>0</v>
      </c>
      <c r="U146" s="602"/>
      <c r="V146" s="602"/>
      <c r="W146" s="602"/>
      <c r="X146" s="609"/>
      <c r="Y146" s="604"/>
      <c r="Z146" s="603"/>
    </row>
    <row r="147" spans="1:26" ht="15.75">
      <c r="A147" s="111"/>
      <c r="B147" s="424"/>
      <c r="C147" s="390" t="s">
        <v>428</v>
      </c>
      <c r="D147" s="390"/>
      <c r="I147" s="425">
        <f>ELITE!H60+ELITE!H69+ELITE!H78+ELITE!H87</f>
        <v>0</v>
      </c>
      <c r="J147" s="408"/>
      <c r="K147" s="425">
        <v>1</v>
      </c>
      <c r="L147" s="425">
        <f t="shared" si="23"/>
        <v>0</v>
      </c>
      <c r="M147" s="425">
        <f t="shared" si="24"/>
        <v>2.5</v>
      </c>
      <c r="N147" s="468">
        <f t="shared" si="25"/>
        <v>0</v>
      </c>
      <c r="O147" s="425">
        <f t="shared" si="26"/>
        <v>0</v>
      </c>
      <c r="P147" s="467">
        <f t="shared" si="27"/>
        <v>0</v>
      </c>
      <c r="Q147" s="425">
        <f t="shared" si="28"/>
        <v>2.571428571428571</v>
      </c>
      <c r="R147" s="425">
        <v>0.43209876543209874</v>
      </c>
      <c r="S147" s="468">
        <f t="shared" si="29"/>
        <v>0</v>
      </c>
      <c r="T147" s="601"/>
      <c r="U147" s="604">
        <f>S147</f>
        <v>0</v>
      </c>
      <c r="V147" s="602"/>
      <c r="W147" s="602"/>
      <c r="X147" s="609"/>
      <c r="Y147" s="604"/>
      <c r="Z147" s="603"/>
    </row>
    <row r="148" spans="1:26" ht="15.75">
      <c r="A148" s="111"/>
      <c r="B148" s="424"/>
      <c r="C148" s="390" t="s">
        <v>299</v>
      </c>
      <c r="D148" s="390"/>
      <c r="I148" s="425">
        <f>ELITE!H61+ELITE!H70+ELITE!H79+ELITE!H88</f>
        <v>0</v>
      </c>
      <c r="J148" s="408"/>
      <c r="K148" s="425">
        <v>1</v>
      </c>
      <c r="L148" s="425">
        <f t="shared" si="23"/>
        <v>0</v>
      </c>
      <c r="M148" s="425">
        <f t="shared" si="24"/>
        <v>3.333333333333333</v>
      </c>
      <c r="N148" s="468">
        <f t="shared" si="25"/>
        <v>0</v>
      </c>
      <c r="O148" s="425">
        <f t="shared" si="26"/>
        <v>0</v>
      </c>
      <c r="P148" s="467">
        <f t="shared" si="27"/>
        <v>0</v>
      </c>
      <c r="Q148" s="425">
        <f t="shared" si="28"/>
        <v>3.4285714285714284</v>
      </c>
      <c r="R148" s="425">
        <f>R149</f>
        <v>0.6666666666666666</v>
      </c>
      <c r="S148" s="468">
        <f t="shared" si="29"/>
        <v>0</v>
      </c>
      <c r="T148" s="601"/>
      <c r="U148" s="602"/>
      <c r="V148" s="604">
        <f>S148</f>
        <v>0</v>
      </c>
      <c r="W148" s="602"/>
      <c r="X148" s="609"/>
      <c r="Y148" s="604"/>
      <c r="Z148" s="603"/>
    </row>
    <row r="149" spans="1:26" ht="15.75">
      <c r="A149" s="111"/>
      <c r="B149" s="424"/>
      <c r="C149" s="390" t="s">
        <v>112</v>
      </c>
      <c r="D149" s="390"/>
      <c r="I149" s="425">
        <f>ELITE!H62+ELITE!H71+ELITE!H89+ELITE!H80</f>
        <v>0</v>
      </c>
      <c r="J149" s="408"/>
      <c r="K149" s="425">
        <v>1</v>
      </c>
      <c r="L149" s="425">
        <f t="shared" si="23"/>
        <v>0</v>
      </c>
      <c r="M149" s="425">
        <f t="shared" si="24"/>
        <v>3.333333333333333</v>
      </c>
      <c r="N149" s="468">
        <f t="shared" si="25"/>
        <v>0</v>
      </c>
      <c r="O149" s="425">
        <f t="shared" si="26"/>
        <v>0</v>
      </c>
      <c r="P149" s="467">
        <f t="shared" si="27"/>
        <v>0</v>
      </c>
      <c r="Q149" s="425">
        <f t="shared" si="28"/>
        <v>4</v>
      </c>
      <c r="R149" s="425">
        <v>0.6666666666666666</v>
      </c>
      <c r="S149" s="468">
        <f t="shared" si="29"/>
        <v>0</v>
      </c>
      <c r="T149" s="601"/>
      <c r="U149" s="604">
        <f>S149</f>
        <v>0</v>
      </c>
      <c r="V149" s="602"/>
      <c r="W149" s="602"/>
      <c r="X149" s="609"/>
      <c r="Y149" s="604"/>
      <c r="Z149" s="603"/>
    </row>
    <row r="150" spans="1:26" ht="16.5" thickBot="1">
      <c r="A150" s="111"/>
      <c r="B150" s="424"/>
      <c r="C150" s="390" t="s">
        <v>122</v>
      </c>
      <c r="D150" s="390"/>
      <c r="I150" s="425">
        <f>ELITE!H54+ELITE!H63+ELITE!H81</f>
        <v>0</v>
      </c>
      <c r="J150" s="408"/>
      <c r="K150" s="425">
        <v>2</v>
      </c>
      <c r="L150" s="425">
        <f t="shared" si="23"/>
        <v>0</v>
      </c>
      <c r="M150" s="425">
        <f>M120</f>
        <v>1.6666666666666665</v>
      </c>
      <c r="N150" s="468">
        <f t="shared" si="25"/>
        <v>0</v>
      </c>
      <c r="O150" s="425">
        <f>O120</f>
        <v>1.7857142857142858</v>
      </c>
      <c r="P150" s="467">
        <f t="shared" si="27"/>
        <v>0</v>
      </c>
      <c r="Q150" s="425">
        <f>Q120</f>
        <v>0.5714285714285715</v>
      </c>
      <c r="R150" s="425">
        <v>0.6666666666666666</v>
      </c>
      <c r="S150" s="468">
        <f t="shared" si="29"/>
        <v>0</v>
      </c>
      <c r="T150" s="601"/>
      <c r="U150" s="602"/>
      <c r="V150" s="602"/>
      <c r="W150" s="602"/>
      <c r="X150" s="609">
        <f>S150</f>
        <v>0</v>
      </c>
      <c r="Y150" s="604"/>
      <c r="Z150" s="603"/>
    </row>
    <row r="151" spans="1:26" ht="13.5" thickBot="1">
      <c r="A151" s="395"/>
      <c r="B151" s="388" t="s">
        <v>15</v>
      </c>
      <c r="C151" s="388"/>
      <c r="D151" s="398"/>
      <c r="E151" s="398"/>
      <c r="F151" s="398"/>
      <c r="G151" s="398"/>
      <c r="H151" s="428"/>
      <c r="I151" s="381">
        <f>SUM(I152:I170)</f>
        <v>0</v>
      </c>
      <c r="J151" s="381">
        <f>SUM(J152:J170)</f>
        <v>0</v>
      </c>
      <c r="K151" s="381"/>
      <c r="L151" s="381">
        <f>SUM(L152:L170)</f>
        <v>0</v>
      </c>
      <c r="M151" s="436">
        <f>SUM(M152:M170)</f>
        <v>20.83333333333333</v>
      </c>
      <c r="N151" s="436">
        <f>SUM(N152:N170)</f>
        <v>0</v>
      </c>
      <c r="O151" s="436">
        <f>SUM(O152:O170)</f>
        <v>24.928571428571427</v>
      </c>
      <c r="P151" s="436">
        <f>SUM(P152:P170)</f>
        <v>0</v>
      </c>
      <c r="Q151" s="436"/>
      <c r="R151" s="606"/>
      <c r="S151" s="503">
        <f>SUM(S152:S170)</f>
        <v>0</v>
      </c>
      <c r="T151" s="601"/>
      <c r="U151" s="602"/>
      <c r="V151" s="602"/>
      <c r="W151" s="602"/>
      <c r="X151" s="609"/>
      <c r="Y151" s="602"/>
      <c r="Z151" s="603"/>
    </row>
    <row r="152" spans="1:26" ht="15.75">
      <c r="A152" s="393">
        <v>1</v>
      </c>
      <c r="B152" s="424" t="s">
        <v>443</v>
      </c>
      <c r="C152" s="390"/>
      <c r="D152" s="432"/>
      <c r="I152" s="425"/>
      <c r="J152" s="408"/>
      <c r="K152" s="425"/>
      <c r="L152" s="425">
        <f aca="true" t="shared" si="30" ref="L152:L163">K152*(I152+J152)</f>
        <v>0</v>
      </c>
      <c r="M152" s="467"/>
      <c r="N152" s="467"/>
      <c r="O152" s="467"/>
      <c r="P152" s="467"/>
      <c r="Q152" s="467"/>
      <c r="R152" s="467"/>
      <c r="S152" s="468"/>
      <c r="T152" s="601"/>
      <c r="U152" s="602"/>
      <c r="V152" s="602"/>
      <c r="W152" s="602"/>
      <c r="X152" s="609"/>
      <c r="Y152" s="602"/>
      <c r="Z152" s="603"/>
    </row>
    <row r="153" spans="1:26" ht="12.75">
      <c r="A153" s="393"/>
      <c r="B153" s="432"/>
      <c r="C153" s="390" t="s">
        <v>113</v>
      </c>
      <c r="D153" s="432"/>
      <c r="I153" s="425">
        <f>'A.RAPIDO'!H5</f>
        <v>0</v>
      </c>
      <c r="J153" s="408"/>
      <c r="K153" s="425">
        <v>1</v>
      </c>
      <c r="L153" s="425">
        <f t="shared" si="30"/>
        <v>0</v>
      </c>
      <c r="M153" s="467">
        <f>C20</f>
        <v>0.8333333333333333</v>
      </c>
      <c r="N153" s="467">
        <f aca="true" t="shared" si="31" ref="N153:N163">L153*M153</f>
        <v>0</v>
      </c>
      <c r="O153" s="467">
        <f>G22</f>
        <v>1.4285714285714284</v>
      </c>
      <c r="P153" s="467">
        <f aca="true" t="shared" si="32" ref="P153:P163">O153*L153</f>
        <v>0</v>
      </c>
      <c r="Q153" s="467">
        <f>Q150</f>
        <v>0.5714285714285715</v>
      </c>
      <c r="R153" s="467">
        <v>0.6666666666666666</v>
      </c>
      <c r="S153" s="468">
        <f aca="true" t="shared" si="33" ref="S153:S163">L153*Q153*R153</f>
        <v>0</v>
      </c>
      <c r="T153" s="601"/>
      <c r="U153" s="602"/>
      <c r="V153" s="602"/>
      <c r="W153" s="602"/>
      <c r="X153" s="609">
        <f>S153</f>
        <v>0</v>
      </c>
      <c r="Y153" s="602"/>
      <c r="Z153" s="603"/>
    </row>
    <row r="154" spans="1:26" ht="12.75">
      <c r="A154" s="393"/>
      <c r="B154" s="432"/>
      <c r="C154" s="390" t="s">
        <v>442</v>
      </c>
      <c r="D154" s="432"/>
      <c r="I154" s="425">
        <f>'A.RAPIDO'!H6</f>
        <v>0</v>
      </c>
      <c r="J154" s="408"/>
      <c r="K154" s="425">
        <v>1</v>
      </c>
      <c r="L154" s="425">
        <f t="shared" si="30"/>
        <v>0</v>
      </c>
      <c r="M154" s="425">
        <f>M140</f>
        <v>0.8333333333333333</v>
      </c>
      <c r="N154" s="467">
        <f t="shared" si="31"/>
        <v>0</v>
      </c>
      <c r="O154" s="425">
        <f>O140</f>
        <v>1.0714285714285714</v>
      </c>
      <c r="P154" s="467">
        <f t="shared" si="32"/>
        <v>0</v>
      </c>
      <c r="Q154" s="425">
        <f>Q140</f>
        <v>2.571428571428571</v>
      </c>
      <c r="R154" s="425">
        <v>0.6666666666666666</v>
      </c>
      <c r="S154" s="468">
        <f t="shared" si="33"/>
        <v>0</v>
      </c>
      <c r="T154" s="601"/>
      <c r="U154" s="604">
        <f>S154</f>
        <v>0</v>
      </c>
      <c r="V154" s="602"/>
      <c r="W154" s="602"/>
      <c r="X154" s="609"/>
      <c r="Y154" s="602"/>
      <c r="Z154" s="603"/>
    </row>
    <row r="155" spans="1:26" ht="15.75">
      <c r="A155" s="393">
        <v>2</v>
      </c>
      <c r="B155" s="424" t="s">
        <v>444</v>
      </c>
      <c r="C155" s="390"/>
      <c r="D155" s="390"/>
      <c r="I155" s="425"/>
      <c r="J155" s="408"/>
      <c r="K155" s="425"/>
      <c r="L155" s="425">
        <f t="shared" si="30"/>
        <v>0</v>
      </c>
      <c r="M155" s="467"/>
      <c r="N155" s="467">
        <f t="shared" si="31"/>
        <v>0</v>
      </c>
      <c r="O155" s="467"/>
      <c r="P155" s="467">
        <f t="shared" si="32"/>
        <v>0</v>
      </c>
      <c r="Q155" s="467"/>
      <c r="R155" s="467"/>
      <c r="S155" s="468">
        <f t="shared" si="33"/>
        <v>0</v>
      </c>
      <c r="T155" s="601"/>
      <c r="U155" s="602"/>
      <c r="V155" s="602"/>
      <c r="W155" s="602"/>
      <c r="X155" s="609"/>
      <c r="Y155" s="602"/>
      <c r="Z155" s="603"/>
    </row>
    <row r="156" spans="1:26" ht="15.75">
      <c r="A156" s="393"/>
      <c r="B156" s="424"/>
      <c r="C156" s="390" t="s">
        <v>417</v>
      </c>
      <c r="D156" s="390"/>
      <c r="I156" s="425">
        <f>'A.RAPIDO'!H16+'A.RAPIDO'!H17+'A.RAPIDO'!H19+'A.RAPIDO'!H22+'A.RAPIDO'!H23</f>
        <v>0</v>
      </c>
      <c r="J156" s="408"/>
      <c r="K156" s="425">
        <v>1.5</v>
      </c>
      <c r="L156" s="425">
        <f t="shared" si="30"/>
        <v>0</v>
      </c>
      <c r="M156" s="468">
        <f>M65</f>
        <v>1.25</v>
      </c>
      <c r="N156" s="467">
        <f t="shared" si="31"/>
        <v>0</v>
      </c>
      <c r="O156" s="468">
        <f>O65</f>
        <v>1.7857142857142858</v>
      </c>
      <c r="P156" s="467">
        <f t="shared" si="32"/>
        <v>0</v>
      </c>
      <c r="Q156" s="468">
        <f>Q65</f>
        <v>0.5714285714285715</v>
      </c>
      <c r="R156" s="468">
        <v>0.8888888888888888</v>
      </c>
      <c r="S156" s="468">
        <f t="shared" si="33"/>
        <v>0</v>
      </c>
      <c r="T156" s="601"/>
      <c r="U156" s="602"/>
      <c r="V156" s="602"/>
      <c r="W156" s="602"/>
      <c r="X156" s="609">
        <f>S156</f>
        <v>0</v>
      </c>
      <c r="Y156" s="602"/>
      <c r="Z156" s="603"/>
    </row>
    <row r="157" spans="1:26" ht="15.75">
      <c r="A157" s="393"/>
      <c r="B157" s="424"/>
      <c r="C157" s="390" t="s">
        <v>274</v>
      </c>
      <c r="D157" s="390"/>
      <c r="I157" s="425">
        <f>'A.RAPIDO'!H18</f>
        <v>0</v>
      </c>
      <c r="J157" s="408"/>
      <c r="K157" s="425">
        <v>1</v>
      </c>
      <c r="L157" s="425">
        <f t="shared" si="30"/>
        <v>0</v>
      </c>
      <c r="M157" s="468">
        <f>M140</f>
        <v>0.8333333333333333</v>
      </c>
      <c r="N157" s="467">
        <f t="shared" si="31"/>
        <v>0</v>
      </c>
      <c r="O157" s="468">
        <f>O140</f>
        <v>1.0714285714285714</v>
      </c>
      <c r="P157" s="467">
        <f t="shared" si="32"/>
        <v>0</v>
      </c>
      <c r="Q157" s="468">
        <f>Q140</f>
        <v>2.571428571428571</v>
      </c>
      <c r="R157" s="468">
        <v>0.6666666666666666</v>
      </c>
      <c r="S157" s="468">
        <f t="shared" si="33"/>
        <v>0</v>
      </c>
      <c r="T157" s="601"/>
      <c r="U157" s="604">
        <f>S157</f>
        <v>0</v>
      </c>
      <c r="V157" s="602"/>
      <c r="W157" s="602"/>
      <c r="X157" s="609"/>
      <c r="Y157" s="602"/>
      <c r="Z157" s="603"/>
    </row>
    <row r="158" spans="1:26" ht="15.75">
      <c r="A158" s="393"/>
      <c r="B158" s="424"/>
      <c r="C158" s="390" t="s">
        <v>426</v>
      </c>
      <c r="D158" s="390"/>
      <c r="I158" s="425">
        <f>'A.RAPIDO'!H21</f>
        <v>0</v>
      </c>
      <c r="J158" s="408"/>
      <c r="K158" s="425">
        <v>1.5</v>
      </c>
      <c r="L158" s="425">
        <f t="shared" si="30"/>
        <v>0</v>
      </c>
      <c r="M158" s="468">
        <f>M142</f>
        <v>1.25</v>
      </c>
      <c r="N158" s="467">
        <f t="shared" si="31"/>
        <v>0</v>
      </c>
      <c r="O158" s="468">
        <f>O142</f>
        <v>1.4285714285714284</v>
      </c>
      <c r="P158" s="467">
        <f t="shared" si="32"/>
        <v>0</v>
      </c>
      <c r="Q158" s="468">
        <f>Q142</f>
        <v>2.571428571428571</v>
      </c>
      <c r="R158" s="468">
        <v>0.6666666666666666</v>
      </c>
      <c r="S158" s="468">
        <f t="shared" si="33"/>
        <v>0</v>
      </c>
      <c r="T158" s="601"/>
      <c r="U158" s="604">
        <f>S158</f>
        <v>0</v>
      </c>
      <c r="V158" s="602"/>
      <c r="W158" s="602"/>
      <c r="X158" s="609"/>
      <c r="Y158" s="602"/>
      <c r="Z158" s="603"/>
    </row>
    <row r="159" spans="1:26" ht="15.75">
      <c r="A159" s="393"/>
      <c r="B159" s="424"/>
      <c r="C159" s="390" t="s">
        <v>427</v>
      </c>
      <c r="D159" s="390"/>
      <c r="I159" s="425">
        <f>'A.RAPIDO'!H20</f>
        <v>0</v>
      </c>
      <c r="J159" s="408"/>
      <c r="K159" s="425">
        <v>1</v>
      </c>
      <c r="L159" s="425">
        <f t="shared" si="30"/>
        <v>0</v>
      </c>
      <c r="M159" s="468">
        <f>M143</f>
        <v>0.8333333333333333</v>
      </c>
      <c r="N159" s="467">
        <f t="shared" si="31"/>
        <v>0</v>
      </c>
      <c r="O159" s="468">
        <f>O143</f>
        <v>1.0714285714285714</v>
      </c>
      <c r="P159" s="467">
        <f t="shared" si="32"/>
        <v>0</v>
      </c>
      <c r="Q159" s="468">
        <f>Q143</f>
        <v>3.4285714285714284</v>
      </c>
      <c r="R159" s="468">
        <v>0.6666666666666666</v>
      </c>
      <c r="S159" s="468">
        <f t="shared" si="33"/>
        <v>0</v>
      </c>
      <c r="T159" s="610">
        <f>S159</f>
        <v>0</v>
      </c>
      <c r="U159" s="602"/>
      <c r="V159" s="602"/>
      <c r="W159" s="602"/>
      <c r="X159" s="609"/>
      <c r="Y159" s="602"/>
      <c r="Z159" s="603"/>
    </row>
    <row r="160" spans="1:26" ht="15.75">
      <c r="A160" s="393"/>
      <c r="B160" s="424"/>
      <c r="C160" s="390" t="s">
        <v>280</v>
      </c>
      <c r="D160" s="390"/>
      <c r="I160" s="425"/>
      <c r="J160" s="408"/>
      <c r="K160" s="425">
        <v>1</v>
      </c>
      <c r="L160" s="425">
        <f t="shared" si="30"/>
        <v>0</v>
      </c>
      <c r="M160" s="468" t="str">
        <f>M144</f>
        <v>0.5</v>
      </c>
      <c r="N160" s="467">
        <f t="shared" si="31"/>
        <v>0</v>
      </c>
      <c r="O160" s="468">
        <f>O144</f>
        <v>0.5</v>
      </c>
      <c r="P160" s="467">
        <f t="shared" si="32"/>
        <v>0</v>
      </c>
      <c r="Q160" s="468">
        <f>Q144</f>
        <v>0.5714285714285715</v>
      </c>
      <c r="R160" s="468">
        <v>1</v>
      </c>
      <c r="S160" s="468">
        <f t="shared" si="33"/>
        <v>0</v>
      </c>
      <c r="T160" s="601"/>
      <c r="U160" s="602"/>
      <c r="V160" s="602"/>
      <c r="W160" s="602"/>
      <c r="X160" s="609">
        <f>S160</f>
        <v>0</v>
      </c>
      <c r="Y160" s="602"/>
      <c r="Z160" s="603"/>
    </row>
    <row r="161" spans="1:26" ht="15.75">
      <c r="A161" s="393"/>
      <c r="B161" s="424"/>
      <c r="C161" s="390" t="s">
        <v>309</v>
      </c>
      <c r="D161" s="390"/>
      <c r="I161" s="425">
        <f>'A.RAPIDO'!H23</f>
        <v>0</v>
      </c>
      <c r="J161" s="408">
        <f>'A.RAPIDO'!H24</f>
        <v>0</v>
      </c>
      <c r="K161" s="425">
        <v>3</v>
      </c>
      <c r="L161" s="425">
        <f t="shared" si="30"/>
        <v>0</v>
      </c>
      <c r="M161" s="468">
        <f>M145</f>
        <v>2.5</v>
      </c>
      <c r="N161" s="467">
        <f t="shared" si="31"/>
        <v>0</v>
      </c>
      <c r="O161" s="468">
        <f>G18</f>
        <v>2.8571428571428568</v>
      </c>
      <c r="P161" s="467">
        <f t="shared" si="32"/>
        <v>0</v>
      </c>
      <c r="Q161" s="468">
        <f>Q145</f>
        <v>1.142857142857143</v>
      </c>
      <c r="R161" s="468">
        <v>0.6666666666666666</v>
      </c>
      <c r="S161" s="468">
        <f t="shared" si="33"/>
        <v>0</v>
      </c>
      <c r="T161" s="601"/>
      <c r="U161" s="602"/>
      <c r="V161" s="602"/>
      <c r="W161" s="605">
        <f>S161</f>
        <v>0</v>
      </c>
      <c r="X161" s="609"/>
      <c r="Y161" s="602"/>
      <c r="Z161" s="603"/>
    </row>
    <row r="162" spans="1:26" ht="15.75">
      <c r="A162" s="393"/>
      <c r="B162" s="424"/>
      <c r="C162" s="390" t="s">
        <v>429</v>
      </c>
      <c r="D162" s="390"/>
      <c r="I162" s="425">
        <f>'A.RAPIDO'!H22</f>
        <v>0</v>
      </c>
      <c r="J162" s="408"/>
      <c r="K162" s="425">
        <v>1</v>
      </c>
      <c r="L162" s="425">
        <f t="shared" si="30"/>
        <v>0</v>
      </c>
      <c r="M162" s="468">
        <f>M146</f>
        <v>1.6666666666666665</v>
      </c>
      <c r="N162" s="467">
        <f t="shared" si="31"/>
        <v>0</v>
      </c>
      <c r="O162" s="468">
        <f>G20</f>
        <v>2.142857142857143</v>
      </c>
      <c r="P162" s="467">
        <f t="shared" si="32"/>
        <v>0</v>
      </c>
      <c r="Q162" s="468">
        <f>Q146</f>
        <v>3.4285714285714284</v>
      </c>
      <c r="R162" s="468">
        <v>0.6666666666666666</v>
      </c>
      <c r="S162" s="468">
        <f t="shared" si="33"/>
        <v>0</v>
      </c>
      <c r="T162" s="610">
        <f>S162</f>
        <v>0</v>
      </c>
      <c r="U162" s="602"/>
      <c r="V162" s="602"/>
      <c r="W162" s="602"/>
      <c r="X162" s="609"/>
      <c r="Y162" s="602"/>
      <c r="Z162" s="603"/>
    </row>
    <row r="163" spans="1:26" ht="15.75">
      <c r="A163" s="393"/>
      <c r="B163" s="424"/>
      <c r="C163" s="590" t="s">
        <v>293</v>
      </c>
      <c r="D163" s="390"/>
      <c r="I163" s="425"/>
      <c r="J163" s="408">
        <f>'A.RAPIDO'!H24</f>
        <v>0</v>
      </c>
      <c r="K163" s="425">
        <v>4</v>
      </c>
      <c r="L163" s="425">
        <f t="shared" si="30"/>
        <v>0</v>
      </c>
      <c r="M163" s="468">
        <f>M112</f>
        <v>1.6666666666666665</v>
      </c>
      <c r="N163" s="467">
        <f t="shared" si="31"/>
        <v>0</v>
      </c>
      <c r="O163" s="468">
        <f>G21</f>
        <v>1.7857142857142858</v>
      </c>
      <c r="P163" s="467">
        <f t="shared" si="32"/>
        <v>0</v>
      </c>
      <c r="Q163" s="468">
        <f>Q112</f>
        <v>1.7142857142857142</v>
      </c>
      <c r="R163" s="468">
        <v>0.6666666666666666</v>
      </c>
      <c r="S163" s="468">
        <f t="shared" si="33"/>
        <v>0</v>
      </c>
      <c r="T163" s="601"/>
      <c r="U163" s="602">
        <f>S163*1/6</f>
        <v>0</v>
      </c>
      <c r="V163" s="602"/>
      <c r="W163" s="602">
        <f>S163*5/6</f>
        <v>0</v>
      </c>
      <c r="X163" s="609"/>
      <c r="Y163" s="602"/>
      <c r="Z163" s="603"/>
    </row>
    <row r="164" spans="1:26" ht="15.75">
      <c r="A164" s="393">
        <v>3</v>
      </c>
      <c r="B164" s="424" t="s">
        <v>445</v>
      </c>
      <c r="C164" s="590"/>
      <c r="D164" s="390"/>
      <c r="I164" s="425"/>
      <c r="J164" s="408"/>
      <c r="K164" s="425"/>
      <c r="L164" s="425"/>
      <c r="M164" s="468"/>
      <c r="N164" s="467"/>
      <c r="O164" s="468"/>
      <c r="P164" s="467"/>
      <c r="Q164" s="468"/>
      <c r="R164" s="468"/>
      <c r="S164" s="468"/>
      <c r="T164" s="601"/>
      <c r="U164" s="602"/>
      <c r="V164" s="602"/>
      <c r="W164" s="602"/>
      <c r="X164" s="609"/>
      <c r="Y164" s="602"/>
      <c r="Z164" s="603"/>
    </row>
    <row r="165" spans="1:26" ht="15.75">
      <c r="A165" s="111"/>
      <c r="B165" s="424"/>
      <c r="C165" s="390" t="s">
        <v>429</v>
      </c>
      <c r="D165" s="390"/>
      <c r="I165" s="425"/>
      <c r="J165" s="408">
        <f>'A.RAPIDO'!H27+'A.RAPIDO'!H28+'A.RAPIDO'!H29+'A.RAPIDO'!H30</f>
        <v>0</v>
      </c>
      <c r="K165" s="425">
        <v>1</v>
      </c>
      <c r="L165" s="425">
        <f aca="true" t="shared" si="34" ref="L165:L170">K165*(I165+J165)</f>
        <v>0</v>
      </c>
      <c r="M165" s="425">
        <f>M162</f>
        <v>1.6666666666666665</v>
      </c>
      <c r="N165" s="467">
        <f>L165*M165</f>
        <v>0</v>
      </c>
      <c r="O165" s="468">
        <f>G21</f>
        <v>1.7857142857142858</v>
      </c>
      <c r="P165" s="467">
        <f>O165*L165</f>
        <v>0</v>
      </c>
      <c r="Q165" s="425">
        <f>Q162</f>
        <v>3.4285714285714284</v>
      </c>
      <c r="R165" s="425">
        <v>0.6666666666666666</v>
      </c>
      <c r="S165" s="468">
        <f>L165*Q165*R165</f>
        <v>0</v>
      </c>
      <c r="T165" s="610">
        <f>S165</f>
        <v>0</v>
      </c>
      <c r="U165" s="602"/>
      <c r="V165" s="602"/>
      <c r="W165" s="602"/>
      <c r="X165" s="609"/>
      <c r="Y165" s="602"/>
      <c r="Z165" s="603"/>
    </row>
    <row r="166" spans="1:26" ht="15.75">
      <c r="A166" s="111"/>
      <c r="B166" s="424"/>
      <c r="C166" s="390" t="s">
        <v>309</v>
      </c>
      <c r="D166" s="390"/>
      <c r="I166" s="425"/>
      <c r="J166" s="408">
        <f>'A.RAPIDO'!H31+'A.RAPIDO'!H32+'A.RAPIDO'!H33+'A.RAPIDO'!H34</f>
        <v>0</v>
      </c>
      <c r="K166" s="468">
        <v>3</v>
      </c>
      <c r="L166" s="425">
        <f t="shared" si="34"/>
        <v>0</v>
      </c>
      <c r="M166" s="468">
        <f>M161</f>
        <v>2.5</v>
      </c>
      <c r="N166" s="467">
        <f>L166*M166</f>
        <v>0</v>
      </c>
      <c r="O166" s="468">
        <f>G19</f>
        <v>2.5</v>
      </c>
      <c r="P166" s="467">
        <f>O166*L166</f>
        <v>0</v>
      </c>
      <c r="Q166" s="468">
        <f>Q161</f>
        <v>1.142857142857143</v>
      </c>
      <c r="R166" s="468">
        <v>0.6666666666666666</v>
      </c>
      <c r="S166" s="468">
        <f>L166*Q166*R166</f>
        <v>0</v>
      </c>
      <c r="T166" s="601"/>
      <c r="U166" s="602"/>
      <c r="V166" s="602"/>
      <c r="W166" s="605">
        <f>S166</f>
        <v>0</v>
      </c>
      <c r="X166" s="609"/>
      <c r="Y166" s="602"/>
      <c r="Z166" s="603"/>
    </row>
    <row r="167" spans="1:26" ht="15.75">
      <c r="A167" s="111"/>
      <c r="B167" s="424"/>
      <c r="C167" s="590" t="s">
        <v>293</v>
      </c>
      <c r="D167" s="390"/>
      <c r="I167" s="425"/>
      <c r="J167" s="408">
        <f>'A.RAPIDO'!H28+'A.RAPIDO'!H32</f>
        <v>0</v>
      </c>
      <c r="K167" s="425">
        <v>4</v>
      </c>
      <c r="L167" s="425">
        <f t="shared" si="34"/>
        <v>0</v>
      </c>
      <c r="M167" s="425">
        <f>M163</f>
        <v>1.6666666666666665</v>
      </c>
      <c r="N167" s="467">
        <f>L167*M167</f>
        <v>0</v>
      </c>
      <c r="O167" s="425">
        <f>O163</f>
        <v>1.7857142857142858</v>
      </c>
      <c r="P167" s="467">
        <f>O167*L167</f>
        <v>0</v>
      </c>
      <c r="Q167" s="425">
        <f>Q163</f>
        <v>1.7142857142857142</v>
      </c>
      <c r="R167" s="425">
        <v>0.6666666666666666</v>
      </c>
      <c r="S167" s="468">
        <f>L167*Q167*R167</f>
        <v>0</v>
      </c>
      <c r="T167" s="601"/>
      <c r="U167" s="602">
        <f>S167*1/6</f>
        <v>0</v>
      </c>
      <c r="V167" s="602"/>
      <c r="W167" s="602">
        <f>S167*5/6</f>
        <v>0</v>
      </c>
      <c r="X167" s="609"/>
      <c r="Y167" s="602"/>
      <c r="Z167" s="603"/>
    </row>
    <row r="168" spans="1:26" ht="15.75">
      <c r="A168" s="111"/>
      <c r="B168" s="424"/>
      <c r="C168" s="590" t="s">
        <v>290</v>
      </c>
      <c r="D168" s="390"/>
      <c r="I168" s="425"/>
      <c r="J168" s="408">
        <f>'A.RAPIDO'!H29+'A.RAPIDO'!H33</f>
        <v>0</v>
      </c>
      <c r="K168" s="425">
        <v>1</v>
      </c>
      <c r="L168" s="425">
        <f t="shared" si="34"/>
        <v>0</v>
      </c>
      <c r="M168" s="425" t="str">
        <f>M119</f>
        <v>0.5</v>
      </c>
      <c r="N168" s="467">
        <f>L168*M168</f>
        <v>0</v>
      </c>
      <c r="O168" s="468">
        <f>G26</f>
        <v>0.5</v>
      </c>
      <c r="P168" s="467">
        <f>O168*L168</f>
        <v>0</v>
      </c>
      <c r="Q168" s="425">
        <f>Q119</f>
        <v>1.142857142857143</v>
      </c>
      <c r="R168" s="425">
        <v>1</v>
      </c>
      <c r="S168" s="468">
        <f>L168*Q168*R168</f>
        <v>0</v>
      </c>
      <c r="T168" s="601"/>
      <c r="U168" s="602"/>
      <c r="V168" s="602"/>
      <c r="W168" s="604">
        <f>S168</f>
        <v>0</v>
      </c>
      <c r="X168" s="609"/>
      <c r="Y168" s="602"/>
      <c r="Z168" s="603"/>
    </row>
    <row r="169" spans="1:26" ht="15.75">
      <c r="A169" s="111"/>
      <c r="B169" s="424"/>
      <c r="C169" s="590" t="s">
        <v>446</v>
      </c>
      <c r="D169" s="390"/>
      <c r="I169" s="425"/>
      <c r="J169" s="408">
        <f>'A.RAPIDO'!H30+'A.RAPIDO'!H34</f>
        <v>0</v>
      </c>
      <c r="K169" s="425">
        <v>1</v>
      </c>
      <c r="L169" s="425">
        <f t="shared" si="34"/>
        <v>0</v>
      </c>
      <c r="M169" s="468">
        <f>C15</f>
        <v>3.333333333333333</v>
      </c>
      <c r="N169" s="467">
        <f>L169*M169</f>
        <v>0</v>
      </c>
      <c r="O169" s="468">
        <f>G17</f>
        <v>3.2142857142857144</v>
      </c>
      <c r="P169" s="467">
        <f>O169*L169</f>
        <v>0</v>
      </c>
      <c r="Q169" s="468">
        <f>K20</f>
        <v>1.142857142857143</v>
      </c>
      <c r="R169" s="468">
        <v>0.6522633744855967</v>
      </c>
      <c r="S169" s="468">
        <f>L169*Q169*R169</f>
        <v>0</v>
      </c>
      <c r="T169" s="601"/>
      <c r="U169" s="602"/>
      <c r="V169" s="602"/>
      <c r="W169" s="602"/>
      <c r="X169" s="609">
        <f>S169</f>
        <v>0</v>
      </c>
      <c r="Y169" s="602"/>
      <c r="Z169" s="603"/>
    </row>
    <row r="170" spans="2:26" ht="13.5" thickBot="1">
      <c r="B170" s="390"/>
      <c r="C170" s="390"/>
      <c r="D170" s="390"/>
      <c r="I170" s="425"/>
      <c r="J170" s="408"/>
      <c r="K170" s="425"/>
      <c r="L170" s="425">
        <f t="shared" si="34"/>
        <v>0</v>
      </c>
      <c r="M170" s="467"/>
      <c r="N170" s="467"/>
      <c r="O170" s="467"/>
      <c r="P170" s="467"/>
      <c r="Q170" s="467"/>
      <c r="R170" s="467"/>
      <c r="S170" s="468"/>
      <c r="T170" s="601"/>
      <c r="U170" s="602"/>
      <c r="V170" s="602"/>
      <c r="W170" s="602"/>
      <c r="X170" s="609"/>
      <c r="Y170" s="602"/>
      <c r="Z170" s="603"/>
    </row>
    <row r="171" spans="1:26" ht="13.5" thickBot="1">
      <c r="A171" s="389"/>
      <c r="B171" s="388" t="s">
        <v>16</v>
      </c>
      <c r="C171" s="398"/>
      <c r="D171" s="398"/>
      <c r="E171" s="398"/>
      <c r="F171" s="398"/>
      <c r="G171" s="398"/>
      <c r="H171" s="428"/>
      <c r="I171" s="381">
        <f>SUM(I172:I186)</f>
        <v>0</v>
      </c>
      <c r="J171" s="381">
        <f>SUM(J172:J186)</f>
        <v>0</v>
      </c>
      <c r="K171" s="381"/>
      <c r="L171" s="381">
        <f>SUM(L172:L191)</f>
        <v>0</v>
      </c>
      <c r="M171" s="436">
        <f>SUM(M172:M191)</f>
        <v>40.83333333333332</v>
      </c>
      <c r="N171" s="436">
        <f>SUM(N172:N191)</f>
        <v>0</v>
      </c>
      <c r="O171" s="436">
        <f>SUM(O172:O191)</f>
        <v>28.21428571428571</v>
      </c>
      <c r="P171" s="436">
        <f>SUM(P172:P191)</f>
        <v>0</v>
      </c>
      <c r="Q171" s="436"/>
      <c r="R171" s="606"/>
      <c r="S171" s="613">
        <f>SUM(S172:S191)</f>
        <v>0</v>
      </c>
      <c r="T171" s="601"/>
      <c r="U171" s="602"/>
      <c r="V171" s="602"/>
      <c r="W171" s="602"/>
      <c r="X171" s="609"/>
      <c r="Y171" s="602"/>
      <c r="Z171" s="603"/>
    </row>
    <row r="172" spans="1:26" ht="15.75">
      <c r="A172" s="393">
        <v>1</v>
      </c>
      <c r="B172" s="424" t="s">
        <v>447</v>
      </c>
      <c r="C172" s="390"/>
      <c r="D172" s="390"/>
      <c r="I172" s="425"/>
      <c r="J172" s="408"/>
      <c r="K172" s="425"/>
      <c r="L172" s="425">
        <f aca="true" t="shared" si="35" ref="L172:L180">K172*(I172+J172)</f>
        <v>0</v>
      </c>
      <c r="M172" s="467"/>
      <c r="N172" s="467"/>
      <c r="O172" s="467"/>
      <c r="P172" s="467"/>
      <c r="Q172" s="467"/>
      <c r="R172" s="468"/>
      <c r="S172" s="507"/>
      <c r="T172" s="607"/>
      <c r="U172" s="602"/>
      <c r="V172" s="602"/>
      <c r="W172" s="602"/>
      <c r="X172" s="609"/>
      <c r="Y172" s="602"/>
      <c r="Z172" s="603"/>
    </row>
    <row r="173" spans="1:26" ht="12.75">
      <c r="A173" s="393"/>
      <c r="B173" s="390"/>
      <c r="C173" s="390" t="s">
        <v>113</v>
      </c>
      <c r="D173" s="390"/>
      <c r="I173" s="425">
        <f>'A.PESADO'!H6</f>
        <v>0</v>
      </c>
      <c r="J173" s="408"/>
      <c r="K173" s="425">
        <v>1</v>
      </c>
      <c r="L173" s="425">
        <f t="shared" si="35"/>
        <v>0</v>
      </c>
      <c r="M173" s="468">
        <f>M85</f>
        <v>0.8333333333333333</v>
      </c>
      <c r="N173" s="467">
        <f aca="true" t="shared" si="36" ref="N173:N180">M173*L173</f>
        <v>0</v>
      </c>
      <c r="O173" s="468">
        <f>O85</f>
        <v>1.0714285714285714</v>
      </c>
      <c r="P173" s="467">
        <f aca="true" t="shared" si="37" ref="P173:P180">O173*L173</f>
        <v>0</v>
      </c>
      <c r="Q173" s="468">
        <f>Q85</f>
        <v>0.5714285714285715</v>
      </c>
      <c r="R173" s="468">
        <v>0.6666666666666666</v>
      </c>
      <c r="S173" s="467">
        <f aca="true" t="shared" si="38" ref="S173:S180">L173*Q173*R173</f>
        <v>0</v>
      </c>
      <c r="T173" s="607"/>
      <c r="U173" s="602"/>
      <c r="V173" s="602"/>
      <c r="W173" s="602"/>
      <c r="X173" s="609">
        <f>S173</f>
        <v>0</v>
      </c>
      <c r="Y173" s="602"/>
      <c r="Z173" s="603"/>
    </row>
    <row r="174" spans="1:26" ht="12.75">
      <c r="A174" s="393"/>
      <c r="B174" s="390"/>
      <c r="C174" s="390" t="s">
        <v>274</v>
      </c>
      <c r="D174" s="390"/>
      <c r="I174" s="425">
        <f>'A.PESADO'!H7</f>
        <v>0</v>
      </c>
      <c r="J174" s="408"/>
      <c r="K174" s="425">
        <v>1</v>
      </c>
      <c r="L174" s="425">
        <f t="shared" si="35"/>
        <v>0</v>
      </c>
      <c r="M174" s="468">
        <f>M86</f>
        <v>0.8333333333333333</v>
      </c>
      <c r="N174" s="467">
        <f t="shared" si="36"/>
        <v>0</v>
      </c>
      <c r="O174" s="468">
        <f>O86</f>
        <v>1.0714285714285714</v>
      </c>
      <c r="P174" s="467">
        <f t="shared" si="37"/>
        <v>0</v>
      </c>
      <c r="Q174" s="468">
        <f>Q86</f>
        <v>2.571428571428571</v>
      </c>
      <c r="R174" s="468">
        <v>0.6666666666666666</v>
      </c>
      <c r="S174" s="467">
        <f t="shared" si="38"/>
        <v>0</v>
      </c>
      <c r="T174" s="607"/>
      <c r="U174" s="604">
        <f>S174</f>
        <v>0</v>
      </c>
      <c r="V174" s="602"/>
      <c r="W174" s="602"/>
      <c r="X174" s="609"/>
      <c r="Y174" s="602"/>
      <c r="Z174" s="603"/>
    </row>
    <row r="175" spans="1:26" ht="12.75">
      <c r="A175" s="393"/>
      <c r="B175" s="390"/>
      <c r="C175" s="390" t="s">
        <v>416</v>
      </c>
      <c r="D175" s="390"/>
      <c r="I175" s="425">
        <f>'A.PESADO'!H5+'A.PESADO'!H8</f>
        <v>0</v>
      </c>
      <c r="J175" s="408"/>
      <c r="K175" s="425">
        <v>1.5</v>
      </c>
      <c r="L175" s="425">
        <f t="shared" si="35"/>
        <v>0</v>
      </c>
      <c r="M175" s="468">
        <f>M87</f>
        <v>1.25</v>
      </c>
      <c r="N175" s="467">
        <f t="shared" si="36"/>
        <v>0</v>
      </c>
      <c r="O175" s="468">
        <f>O87</f>
        <v>1.4285714285714284</v>
      </c>
      <c r="P175" s="467">
        <f t="shared" si="37"/>
        <v>0</v>
      </c>
      <c r="Q175" s="468">
        <f>Q87</f>
        <v>0.5714285714285715</v>
      </c>
      <c r="R175" s="468">
        <v>0.6666666666666666</v>
      </c>
      <c r="S175" s="467">
        <f t="shared" si="38"/>
        <v>0</v>
      </c>
      <c r="T175" s="607"/>
      <c r="U175" s="602"/>
      <c r="V175" s="602"/>
      <c r="W175" s="602"/>
      <c r="X175" s="609">
        <f>S175</f>
        <v>0</v>
      </c>
      <c r="Y175" s="602"/>
      <c r="Z175" s="603"/>
    </row>
    <row r="176" spans="1:26" ht="12.75">
      <c r="A176" s="393"/>
      <c r="B176" s="390"/>
      <c r="C176" s="390" t="s">
        <v>309</v>
      </c>
      <c r="D176" s="390"/>
      <c r="I176" s="425">
        <f>'A.PESADO'!H9</f>
        <v>0</v>
      </c>
      <c r="J176" s="408"/>
      <c r="K176" s="425">
        <v>3</v>
      </c>
      <c r="L176" s="425">
        <f t="shared" si="35"/>
        <v>0</v>
      </c>
      <c r="M176" s="468">
        <f>M99</f>
        <v>2.5</v>
      </c>
      <c r="N176" s="467">
        <f t="shared" si="36"/>
        <v>0</v>
      </c>
      <c r="O176" s="468">
        <f>O99</f>
        <v>0</v>
      </c>
      <c r="P176" s="467">
        <f t="shared" si="37"/>
        <v>0</v>
      </c>
      <c r="Q176" s="468">
        <f>Q99</f>
        <v>1.142857142857143</v>
      </c>
      <c r="R176" s="468">
        <v>0.6666666666666666</v>
      </c>
      <c r="S176" s="467">
        <f t="shared" si="38"/>
        <v>0</v>
      </c>
      <c r="T176" s="607"/>
      <c r="U176" s="602"/>
      <c r="V176" s="602"/>
      <c r="W176" s="604">
        <f>S176</f>
        <v>0</v>
      </c>
      <c r="X176" s="609"/>
      <c r="Y176" s="602"/>
      <c r="Z176" s="603"/>
    </row>
    <row r="177" spans="1:26" ht="12.75">
      <c r="A177" s="393"/>
      <c r="B177" s="390"/>
      <c r="C177" s="390" t="s">
        <v>429</v>
      </c>
      <c r="D177" s="390"/>
      <c r="I177" s="425">
        <f>'A.PESADO'!H10</f>
        <v>0</v>
      </c>
      <c r="J177" s="408"/>
      <c r="K177" s="425">
        <v>1</v>
      </c>
      <c r="L177" s="425">
        <f t="shared" si="35"/>
        <v>0</v>
      </c>
      <c r="M177" s="468">
        <f>M100</f>
        <v>1.6666666666666665</v>
      </c>
      <c r="N177" s="467">
        <f t="shared" si="36"/>
        <v>0</v>
      </c>
      <c r="O177" s="468">
        <f>O100</f>
        <v>0</v>
      </c>
      <c r="P177" s="467">
        <f t="shared" si="37"/>
        <v>0</v>
      </c>
      <c r="Q177" s="468">
        <f>Q100</f>
        <v>3.4285714285714284</v>
      </c>
      <c r="R177" s="468">
        <v>0.6666666666666666</v>
      </c>
      <c r="S177" s="467">
        <f t="shared" si="38"/>
        <v>0</v>
      </c>
      <c r="T177" s="608">
        <f>S177</f>
        <v>0</v>
      </c>
      <c r="U177" s="602"/>
      <c r="V177" s="602"/>
      <c r="W177" s="602"/>
      <c r="X177" s="609"/>
      <c r="Y177" s="602"/>
      <c r="Z177" s="603"/>
    </row>
    <row r="178" spans="1:26" ht="12.75">
      <c r="A178" s="393"/>
      <c r="B178" s="390"/>
      <c r="C178" s="390" t="s">
        <v>428</v>
      </c>
      <c r="D178" s="390"/>
      <c r="I178" s="425">
        <f>'A.PESADO'!H11</f>
        <v>0</v>
      </c>
      <c r="J178" s="408"/>
      <c r="K178" s="425">
        <v>1</v>
      </c>
      <c r="L178" s="425">
        <f t="shared" si="35"/>
        <v>0</v>
      </c>
      <c r="M178" s="468">
        <f>M101</f>
        <v>2.5</v>
      </c>
      <c r="N178" s="467">
        <f t="shared" si="36"/>
        <v>0</v>
      </c>
      <c r="O178" s="468">
        <f>O101</f>
        <v>0</v>
      </c>
      <c r="P178" s="467">
        <f t="shared" si="37"/>
        <v>0</v>
      </c>
      <c r="Q178" s="468">
        <f>Q101</f>
        <v>2.571428571428571</v>
      </c>
      <c r="R178" s="468">
        <v>0.43209876543209874</v>
      </c>
      <c r="S178" s="467">
        <f t="shared" si="38"/>
        <v>0</v>
      </c>
      <c r="T178" s="607"/>
      <c r="U178" s="609">
        <f>S178</f>
        <v>0</v>
      </c>
      <c r="V178" s="602"/>
      <c r="W178" s="602"/>
      <c r="X178" s="580"/>
      <c r="Y178" s="580"/>
      <c r="Z178" s="603"/>
    </row>
    <row r="179" spans="1:26" ht="12.75">
      <c r="A179" s="393"/>
      <c r="B179" s="390"/>
      <c r="C179" s="390" t="s">
        <v>299</v>
      </c>
      <c r="D179" s="390"/>
      <c r="I179" s="425">
        <f>'A.PESADO'!H12</f>
        <v>0</v>
      </c>
      <c r="J179" s="425"/>
      <c r="K179" s="425">
        <v>1</v>
      </c>
      <c r="L179" s="425">
        <f t="shared" si="35"/>
        <v>0</v>
      </c>
      <c r="M179" s="468">
        <f>M102</f>
        <v>3.333333333333333</v>
      </c>
      <c r="N179" s="467">
        <f t="shared" si="36"/>
        <v>0</v>
      </c>
      <c r="O179" s="468">
        <f>O102</f>
        <v>0</v>
      </c>
      <c r="P179" s="467">
        <f t="shared" si="37"/>
        <v>0</v>
      </c>
      <c r="Q179" s="468">
        <f>Q102</f>
        <v>3.4285714285714284</v>
      </c>
      <c r="R179" s="468">
        <f>R180</f>
        <v>0.6666666666666666</v>
      </c>
      <c r="S179" s="467">
        <f t="shared" si="38"/>
        <v>0</v>
      </c>
      <c r="T179" s="607"/>
      <c r="U179" s="602"/>
      <c r="V179" s="604">
        <f>S179</f>
        <v>0</v>
      </c>
      <c r="W179" s="602"/>
      <c r="X179" s="609"/>
      <c r="Y179" s="604"/>
      <c r="Z179" s="603"/>
    </row>
    <row r="180" spans="1:26" ht="12.75">
      <c r="A180" s="393"/>
      <c r="B180" s="390"/>
      <c r="C180" s="390" t="s">
        <v>112</v>
      </c>
      <c r="D180" s="390"/>
      <c r="I180" s="425">
        <f>'A.PESADO'!H13</f>
        <v>0</v>
      </c>
      <c r="J180" s="425"/>
      <c r="K180" s="425">
        <v>1</v>
      </c>
      <c r="L180" s="425">
        <f t="shared" si="35"/>
        <v>0</v>
      </c>
      <c r="M180" s="468">
        <f>M103</f>
        <v>3.333333333333333</v>
      </c>
      <c r="N180" s="467">
        <f t="shared" si="36"/>
        <v>0</v>
      </c>
      <c r="O180" s="468">
        <f>O103</f>
        <v>0</v>
      </c>
      <c r="P180" s="467">
        <f t="shared" si="37"/>
        <v>0</v>
      </c>
      <c r="Q180" s="468">
        <f>Q103</f>
        <v>4</v>
      </c>
      <c r="R180" s="468">
        <v>0.6666666666666666</v>
      </c>
      <c r="S180" s="467">
        <f t="shared" si="38"/>
        <v>0</v>
      </c>
      <c r="T180" s="607"/>
      <c r="U180" s="604">
        <f>S180</f>
        <v>0</v>
      </c>
      <c r="V180" s="602"/>
      <c r="W180" s="602"/>
      <c r="X180" s="609"/>
      <c r="Y180" s="602"/>
      <c r="Z180" s="603"/>
    </row>
    <row r="181" spans="1:26" ht="15.75">
      <c r="A181" s="393">
        <v>2</v>
      </c>
      <c r="B181" s="424" t="s">
        <v>421</v>
      </c>
      <c r="D181" s="390"/>
      <c r="I181" s="425"/>
      <c r="J181" s="408"/>
      <c r="K181" s="425"/>
      <c r="L181" s="425"/>
      <c r="M181" s="467"/>
      <c r="N181" s="467"/>
      <c r="O181" s="467"/>
      <c r="P181" s="467"/>
      <c r="Q181" s="467"/>
      <c r="R181" s="468"/>
      <c r="S181" s="467"/>
      <c r="T181" s="607"/>
      <c r="U181" s="602"/>
      <c r="V181" s="602"/>
      <c r="W181" s="602"/>
      <c r="X181" s="609"/>
      <c r="Y181" s="602"/>
      <c r="Z181" s="603"/>
    </row>
    <row r="182" spans="1:26" ht="12.75">
      <c r="A182" s="393"/>
      <c r="B182" s="390"/>
      <c r="C182" s="390" t="s">
        <v>123</v>
      </c>
      <c r="D182" s="390"/>
      <c r="I182" s="425"/>
      <c r="J182" s="408">
        <f>'A.PESADO'!H28+'A.PESADO'!H30+'A.PESADO'!H31</f>
        <v>0</v>
      </c>
      <c r="K182" s="425">
        <v>2</v>
      </c>
      <c r="L182" s="425">
        <f aca="true" t="shared" si="39" ref="L182:L191">K182*(I182+J182)</f>
        <v>0</v>
      </c>
      <c r="M182" s="467">
        <f>C15</f>
        <v>3.333333333333333</v>
      </c>
      <c r="N182" s="467">
        <f aca="true" t="shared" si="40" ref="N182:N191">M182*L182</f>
        <v>0</v>
      </c>
      <c r="O182" s="467">
        <f>G17</f>
        <v>3.2142857142857144</v>
      </c>
      <c r="P182" s="467">
        <f aca="true" t="shared" si="41" ref="P182:P191">O182*L182</f>
        <v>0</v>
      </c>
      <c r="Q182" s="467">
        <f>Q116</f>
        <v>2.571428571428571</v>
      </c>
      <c r="R182" s="468">
        <v>0.6666666666666666</v>
      </c>
      <c r="S182" s="467">
        <f aca="true" t="shared" si="42" ref="S182:S191">L182*Q182*R182</f>
        <v>0</v>
      </c>
      <c r="T182" s="607"/>
      <c r="U182" s="602"/>
      <c r="V182" s="602"/>
      <c r="W182" s="609">
        <f>S182</f>
        <v>0</v>
      </c>
      <c r="X182" s="580"/>
      <c r="Y182" s="602"/>
      <c r="Z182" s="603"/>
    </row>
    <row r="183" spans="1:26" ht="12.75">
      <c r="A183" s="393"/>
      <c r="B183" s="390"/>
      <c r="C183" s="390" t="s">
        <v>309</v>
      </c>
      <c r="D183" s="390"/>
      <c r="I183" s="425"/>
      <c r="J183" s="408">
        <f>(('A.PESADO'!H30)*2)+(('A.PESADO'!H32)*2)</f>
        <v>0</v>
      </c>
      <c r="K183" s="425">
        <v>3</v>
      </c>
      <c r="L183" s="425">
        <f t="shared" si="39"/>
        <v>0</v>
      </c>
      <c r="M183" s="467">
        <f>C16</f>
        <v>2.5</v>
      </c>
      <c r="N183" s="467">
        <f t="shared" si="40"/>
        <v>0</v>
      </c>
      <c r="O183" s="467">
        <f>G19</f>
        <v>2.5</v>
      </c>
      <c r="P183" s="467">
        <f t="shared" si="41"/>
        <v>0</v>
      </c>
      <c r="Q183" s="467">
        <f>Q176</f>
        <v>1.142857142857143</v>
      </c>
      <c r="R183" s="468">
        <v>0.6666666666666666</v>
      </c>
      <c r="S183" s="467">
        <f t="shared" si="42"/>
        <v>0</v>
      </c>
      <c r="T183" s="607"/>
      <c r="U183" s="602"/>
      <c r="V183" s="602"/>
      <c r="W183" s="609">
        <f>S183</f>
        <v>0</v>
      </c>
      <c r="X183" s="580"/>
      <c r="Y183" s="602"/>
      <c r="Z183" s="603"/>
    </row>
    <row r="184" spans="1:26" ht="12.75">
      <c r="A184" s="393"/>
      <c r="B184" s="390"/>
      <c r="C184" s="390" t="s">
        <v>296</v>
      </c>
      <c r="D184" s="390"/>
      <c r="I184" s="425"/>
      <c r="J184" s="408">
        <f>'A.PESADO'!H18</f>
        <v>0</v>
      </c>
      <c r="K184" s="425">
        <v>3</v>
      </c>
      <c r="L184" s="425">
        <f t="shared" si="39"/>
        <v>0</v>
      </c>
      <c r="M184" s="425">
        <f>M183</f>
        <v>2.5</v>
      </c>
      <c r="N184" s="467">
        <f t="shared" si="40"/>
        <v>0</v>
      </c>
      <c r="O184" s="425">
        <f>O183</f>
        <v>2.5</v>
      </c>
      <c r="P184" s="467">
        <f t="shared" si="41"/>
        <v>0</v>
      </c>
      <c r="Q184" s="425">
        <f>Q183</f>
        <v>1.142857142857143</v>
      </c>
      <c r="R184" s="468">
        <v>0.8888888888888888</v>
      </c>
      <c r="S184" s="467">
        <f t="shared" si="42"/>
        <v>0</v>
      </c>
      <c r="T184" s="607"/>
      <c r="U184" s="602"/>
      <c r="V184" s="602"/>
      <c r="W184" s="609">
        <f>S184</f>
        <v>0</v>
      </c>
      <c r="X184" s="580"/>
      <c r="Y184" s="602"/>
      <c r="Z184" s="603"/>
    </row>
    <row r="185" spans="1:26" ht="12.75">
      <c r="A185" s="393"/>
      <c r="B185" s="390"/>
      <c r="C185" s="390" t="s">
        <v>448</v>
      </c>
      <c r="D185" s="390"/>
      <c r="I185" s="425"/>
      <c r="J185" s="408">
        <f>('A.PESADO'!H31*2)+('A.PESADO'!H33*2)</f>
        <v>0</v>
      </c>
      <c r="K185" s="425">
        <v>1</v>
      </c>
      <c r="L185" s="425">
        <f t="shared" si="39"/>
        <v>0</v>
      </c>
      <c r="M185" s="425">
        <f>M186</f>
        <v>3.333333333333333</v>
      </c>
      <c r="N185" s="467">
        <f t="shared" si="40"/>
        <v>0</v>
      </c>
      <c r="O185" s="425">
        <f>O186</f>
        <v>3.2142857142857144</v>
      </c>
      <c r="P185" s="467">
        <f t="shared" si="41"/>
        <v>0</v>
      </c>
      <c r="Q185" s="468">
        <f>Q180</f>
        <v>4</v>
      </c>
      <c r="R185" s="468">
        <v>0.6666666666666666</v>
      </c>
      <c r="S185" s="467">
        <f t="shared" si="42"/>
        <v>0</v>
      </c>
      <c r="T185" s="607"/>
      <c r="U185" s="602">
        <f>S185</f>
        <v>0</v>
      </c>
      <c r="V185" s="602"/>
      <c r="W185" s="609"/>
      <c r="X185" s="580"/>
      <c r="Y185" s="602"/>
      <c r="Z185" s="603"/>
    </row>
    <row r="186" spans="1:26" ht="12.75">
      <c r="A186" s="393"/>
      <c r="B186" s="390"/>
      <c r="C186" s="390" t="s">
        <v>125</v>
      </c>
      <c r="D186" s="390"/>
      <c r="I186" s="425"/>
      <c r="J186" s="408">
        <f>(2*('A.PESADO'!H18))+'A.PESADO'!H29+'A.PESADO'!H32+'A.PESADO'!H33</f>
        <v>0</v>
      </c>
      <c r="K186" s="425">
        <v>1</v>
      </c>
      <c r="L186" s="425">
        <f t="shared" si="39"/>
        <v>0</v>
      </c>
      <c r="M186" s="467">
        <f>C15</f>
        <v>3.333333333333333</v>
      </c>
      <c r="N186" s="467">
        <f t="shared" si="40"/>
        <v>0</v>
      </c>
      <c r="O186" s="467">
        <f>G17</f>
        <v>3.2142857142857144</v>
      </c>
      <c r="P186" s="467">
        <f t="shared" si="41"/>
        <v>0</v>
      </c>
      <c r="Q186" s="467">
        <f>Q180</f>
        <v>4</v>
      </c>
      <c r="R186" s="468">
        <v>0.8888888888888888</v>
      </c>
      <c r="S186" s="467">
        <f t="shared" si="42"/>
        <v>0</v>
      </c>
      <c r="T186" s="607"/>
      <c r="U186" s="609">
        <f>S186</f>
        <v>0</v>
      </c>
      <c r="V186" s="602"/>
      <c r="W186" s="602"/>
      <c r="X186" s="580"/>
      <c r="Y186" s="602"/>
      <c r="Z186" s="603"/>
    </row>
    <row r="187" spans="1:26" ht="12.75">
      <c r="A187" s="393"/>
      <c r="B187" s="390"/>
      <c r="C187" s="390" t="s">
        <v>449</v>
      </c>
      <c r="D187" s="390"/>
      <c r="I187" s="425"/>
      <c r="J187" s="408">
        <f>'A.PESADO'!H23</f>
        <v>0</v>
      </c>
      <c r="K187" s="425">
        <v>4</v>
      </c>
      <c r="L187" s="425">
        <f t="shared" si="39"/>
        <v>0</v>
      </c>
      <c r="M187" s="425">
        <f>M167</f>
        <v>1.6666666666666665</v>
      </c>
      <c r="N187" s="467">
        <f t="shared" si="40"/>
        <v>0</v>
      </c>
      <c r="O187" s="425">
        <f>O167</f>
        <v>1.7857142857142858</v>
      </c>
      <c r="P187" s="467">
        <f t="shared" si="41"/>
        <v>0</v>
      </c>
      <c r="Q187" s="425">
        <f>Q167</f>
        <v>1.7142857142857142</v>
      </c>
      <c r="R187" s="468">
        <v>0.8888888888888888</v>
      </c>
      <c r="S187" s="467">
        <f t="shared" si="42"/>
        <v>0</v>
      </c>
      <c r="T187" s="607"/>
      <c r="U187" s="609">
        <f>S187*1/6</f>
        <v>0</v>
      </c>
      <c r="V187" s="602"/>
      <c r="W187" s="602">
        <f>S187*5/6</f>
        <v>0</v>
      </c>
      <c r="X187" s="580"/>
      <c r="Y187" s="602"/>
      <c r="Z187" s="603"/>
    </row>
    <row r="188" spans="1:26" ht="12.75">
      <c r="A188" s="393"/>
      <c r="B188" s="390"/>
      <c r="C188" s="390" t="s">
        <v>295</v>
      </c>
      <c r="D188" s="390"/>
      <c r="I188" s="425"/>
      <c r="J188" s="408">
        <f>'A.PESADO'!H23</f>
        <v>0</v>
      </c>
      <c r="K188" s="425">
        <v>1</v>
      </c>
      <c r="L188" s="425">
        <f t="shared" si="39"/>
        <v>0</v>
      </c>
      <c r="M188" s="425">
        <f>M165</f>
        <v>1.6666666666666665</v>
      </c>
      <c r="N188" s="467">
        <f t="shared" si="40"/>
        <v>0</v>
      </c>
      <c r="O188" s="425">
        <f>O165</f>
        <v>1.7857142857142858</v>
      </c>
      <c r="P188" s="467">
        <f t="shared" si="41"/>
        <v>0</v>
      </c>
      <c r="Q188" s="425">
        <f>Q165</f>
        <v>3.4285714285714284</v>
      </c>
      <c r="R188" s="425">
        <v>0.6666666666666666</v>
      </c>
      <c r="S188" s="467">
        <f t="shared" si="42"/>
        <v>0</v>
      </c>
      <c r="T188" s="608">
        <f>S188</f>
        <v>0</v>
      </c>
      <c r="U188" s="609"/>
      <c r="V188" s="602"/>
      <c r="W188" s="602"/>
      <c r="X188" s="580"/>
      <c r="Y188" s="602"/>
      <c r="Z188" s="603"/>
    </row>
    <row r="189" spans="1:26" ht="12.75">
      <c r="A189" s="393"/>
      <c r="B189" s="390"/>
      <c r="C189" s="390" t="s">
        <v>450</v>
      </c>
      <c r="D189" s="390"/>
      <c r="I189" s="425"/>
      <c r="J189" s="408">
        <f>'A.PESADO'!H23*2</f>
        <v>0</v>
      </c>
      <c r="K189" s="425">
        <v>4.5</v>
      </c>
      <c r="L189" s="425">
        <f t="shared" si="39"/>
        <v>0</v>
      </c>
      <c r="M189" s="467">
        <f>C19</f>
        <v>1.25</v>
      </c>
      <c r="N189" s="467">
        <f t="shared" si="40"/>
        <v>0</v>
      </c>
      <c r="O189" s="467">
        <f>G22</f>
        <v>1.4285714285714284</v>
      </c>
      <c r="P189" s="467">
        <f t="shared" si="41"/>
        <v>0</v>
      </c>
      <c r="Q189" s="467">
        <f>Q173</f>
        <v>0.5714285714285715</v>
      </c>
      <c r="R189" s="468">
        <v>0.8888888888888888</v>
      </c>
      <c r="S189" s="467">
        <f t="shared" si="42"/>
        <v>0</v>
      </c>
      <c r="T189" s="607"/>
      <c r="U189" s="609"/>
      <c r="V189" s="602"/>
      <c r="W189" s="602"/>
      <c r="X189" s="614">
        <f>S189</f>
        <v>0</v>
      </c>
      <c r="Y189" s="602"/>
      <c r="Z189" s="603"/>
    </row>
    <row r="190" spans="1:26" ht="12.75">
      <c r="A190" s="393"/>
      <c r="B190" s="390"/>
      <c r="C190" s="390" t="s">
        <v>451</v>
      </c>
      <c r="D190" s="390"/>
      <c r="I190" s="425"/>
      <c r="J190" s="408">
        <f>'A.PESADO'!H38</f>
        <v>0</v>
      </c>
      <c r="K190" s="425">
        <v>1</v>
      </c>
      <c r="L190" s="425">
        <f t="shared" si="39"/>
        <v>0</v>
      </c>
      <c r="M190" s="467">
        <f>M185</f>
        <v>3.333333333333333</v>
      </c>
      <c r="N190" s="467">
        <f t="shared" si="40"/>
        <v>0</v>
      </c>
      <c r="O190" s="467">
        <f>O185</f>
        <v>3.2142857142857144</v>
      </c>
      <c r="P190" s="467">
        <f t="shared" si="41"/>
        <v>0</v>
      </c>
      <c r="Q190" s="467">
        <f>Q183</f>
        <v>1.142857142857143</v>
      </c>
      <c r="R190" s="468">
        <v>0.6111111111111112</v>
      </c>
      <c r="S190" s="467">
        <f t="shared" si="42"/>
        <v>0</v>
      </c>
      <c r="T190" s="607"/>
      <c r="U190" s="609"/>
      <c r="V190" s="602"/>
      <c r="W190" s="604">
        <f>S190</f>
        <v>0</v>
      </c>
      <c r="X190" s="580"/>
      <c r="Y190" s="602"/>
      <c r="Z190" s="603"/>
    </row>
    <row r="191" spans="1:26" ht="12.75">
      <c r="A191" s="393"/>
      <c r="B191" s="390"/>
      <c r="C191" s="390" t="s">
        <v>452</v>
      </c>
      <c r="D191" s="390"/>
      <c r="I191" s="425"/>
      <c r="J191" s="408">
        <f>'A.PESADO'!H43</f>
        <v>0</v>
      </c>
      <c r="K191" s="425">
        <v>1</v>
      </c>
      <c r="L191" s="425">
        <f t="shared" si="39"/>
        <v>0</v>
      </c>
      <c r="M191" s="467">
        <f>M187</f>
        <v>1.6666666666666665</v>
      </c>
      <c r="N191" s="467">
        <f t="shared" si="40"/>
        <v>0</v>
      </c>
      <c r="O191" s="467">
        <f>O187</f>
        <v>1.7857142857142858</v>
      </c>
      <c r="P191" s="467">
        <f t="shared" si="41"/>
        <v>0</v>
      </c>
      <c r="Q191" s="467">
        <f>K15</f>
        <v>4.2857142857142865</v>
      </c>
      <c r="R191" s="468">
        <v>0.6111111111111112</v>
      </c>
      <c r="S191" s="467">
        <f t="shared" si="42"/>
        <v>0</v>
      </c>
      <c r="T191" s="607"/>
      <c r="U191" s="609">
        <f>S191</f>
        <v>0</v>
      </c>
      <c r="V191" s="602"/>
      <c r="W191" s="602"/>
      <c r="X191" s="580"/>
      <c r="Y191" s="602"/>
      <c r="Z191" s="603"/>
    </row>
    <row r="192" spans="1:26" ht="13.5" thickBot="1">
      <c r="A192" s="393"/>
      <c r="B192" s="390"/>
      <c r="C192" s="390"/>
      <c r="D192" s="390"/>
      <c r="I192" s="425"/>
      <c r="J192" s="408"/>
      <c r="K192" s="425"/>
      <c r="L192" s="425"/>
      <c r="M192" s="467"/>
      <c r="N192" s="467"/>
      <c r="O192" s="467"/>
      <c r="P192" s="467"/>
      <c r="Q192" s="467"/>
      <c r="R192" s="468"/>
      <c r="S192" s="456"/>
      <c r="T192" s="615"/>
      <c r="U192" s="616"/>
      <c r="V192" s="617"/>
      <c r="W192" s="617"/>
      <c r="Y192" s="602"/>
      <c r="Z192" s="603"/>
    </row>
    <row r="193" spans="1:26" ht="13.5" thickBot="1">
      <c r="A193" s="389"/>
      <c r="B193" s="388" t="s">
        <v>18</v>
      </c>
      <c r="C193" s="398"/>
      <c r="D193" s="398"/>
      <c r="E193" s="398"/>
      <c r="F193" s="398"/>
      <c r="G193" s="398"/>
      <c r="H193" s="428"/>
      <c r="I193" s="381">
        <f>SUM(I194:I199)</f>
        <v>0</v>
      </c>
      <c r="J193" s="381">
        <f>SUM(J194:J199)</f>
        <v>0</v>
      </c>
      <c r="K193" s="381"/>
      <c r="L193" s="381">
        <f>SUM(L194:L199)</f>
        <v>0</v>
      </c>
      <c r="M193" s="436">
        <f>SUM(M194:M199)</f>
        <v>0</v>
      </c>
      <c r="N193" s="436">
        <f>SUM(N194:N199)</f>
        <v>0</v>
      </c>
      <c r="O193" s="436">
        <f>SUM(O194:O199)</f>
        <v>0</v>
      </c>
      <c r="P193" s="436">
        <f>SUM(P194:P199)</f>
        <v>0</v>
      </c>
      <c r="Q193" s="436"/>
      <c r="R193" s="606"/>
      <c r="S193" s="501">
        <f>SUM(S194:S199)</f>
        <v>0</v>
      </c>
      <c r="T193" s="601"/>
      <c r="U193" s="602"/>
      <c r="V193" s="602"/>
      <c r="W193" s="602"/>
      <c r="X193" s="609"/>
      <c r="Y193" s="602"/>
      <c r="Z193" s="603"/>
    </row>
    <row r="194" spans="1:26" ht="12.75">
      <c r="A194" s="393">
        <v>1</v>
      </c>
      <c r="B194" s="111"/>
      <c r="C194" s="390"/>
      <c r="D194" s="390"/>
      <c r="H194" s="415"/>
      <c r="I194" s="425"/>
      <c r="J194" s="408"/>
      <c r="K194" s="425"/>
      <c r="L194" s="425">
        <f aca="true" t="shared" si="43" ref="L194:L200">K194*(I194+J194)</f>
        <v>0</v>
      </c>
      <c r="M194" s="467"/>
      <c r="N194" s="467"/>
      <c r="O194" s="467"/>
      <c r="P194" s="467"/>
      <c r="Q194" s="467"/>
      <c r="R194" s="467"/>
      <c r="S194" s="468"/>
      <c r="T194" s="601"/>
      <c r="U194" s="602"/>
      <c r="V194" s="602"/>
      <c r="W194" s="602"/>
      <c r="X194" s="609"/>
      <c r="Y194" s="602"/>
      <c r="Z194" s="603"/>
    </row>
    <row r="195" spans="1:26" ht="12.75">
      <c r="A195" s="393">
        <v>2</v>
      </c>
      <c r="B195" s="111"/>
      <c r="C195" s="390"/>
      <c r="D195" s="390"/>
      <c r="H195" s="415"/>
      <c r="I195" s="425"/>
      <c r="J195" s="408"/>
      <c r="K195" s="425"/>
      <c r="L195" s="425">
        <f t="shared" si="43"/>
        <v>0</v>
      </c>
      <c r="M195" s="467"/>
      <c r="N195" s="467"/>
      <c r="O195" s="467"/>
      <c r="P195" s="467"/>
      <c r="Q195" s="467"/>
      <c r="R195" s="467"/>
      <c r="S195" s="468"/>
      <c r="T195" s="601"/>
      <c r="U195" s="602"/>
      <c r="V195" s="602"/>
      <c r="W195" s="602"/>
      <c r="X195" s="609"/>
      <c r="Y195" s="602"/>
      <c r="Z195" s="603"/>
    </row>
    <row r="196" spans="1:26" ht="12.75">
      <c r="A196" s="393">
        <v>3</v>
      </c>
      <c r="B196" s="111"/>
      <c r="C196" s="390"/>
      <c r="D196" s="390"/>
      <c r="I196" s="425"/>
      <c r="J196" s="408"/>
      <c r="K196" s="425"/>
      <c r="L196" s="425">
        <f t="shared" si="43"/>
        <v>0</v>
      </c>
      <c r="M196" s="467"/>
      <c r="N196" s="467"/>
      <c r="O196" s="467"/>
      <c r="P196" s="467"/>
      <c r="Q196" s="467"/>
      <c r="R196" s="467"/>
      <c r="S196" s="468"/>
      <c r="T196" s="601"/>
      <c r="U196" s="602"/>
      <c r="V196" s="602"/>
      <c r="W196" s="602"/>
      <c r="X196" s="609"/>
      <c r="Y196" s="602"/>
      <c r="Z196" s="603"/>
    </row>
    <row r="197" spans="1:26" ht="12.75">
      <c r="A197" s="393">
        <v>4</v>
      </c>
      <c r="B197" s="111"/>
      <c r="C197" s="390"/>
      <c r="D197" s="390"/>
      <c r="I197" s="425"/>
      <c r="J197" s="408"/>
      <c r="K197" s="425"/>
      <c r="L197" s="425">
        <f t="shared" si="43"/>
        <v>0</v>
      </c>
      <c r="M197" s="467"/>
      <c r="N197" s="467"/>
      <c r="O197" s="467"/>
      <c r="P197" s="467"/>
      <c r="Q197" s="467"/>
      <c r="R197" s="467"/>
      <c r="S197" s="468"/>
      <c r="T197" s="601"/>
      <c r="U197" s="602"/>
      <c r="V197" s="602"/>
      <c r="W197" s="602"/>
      <c r="X197" s="609"/>
      <c r="Y197" s="602"/>
      <c r="Z197" s="603"/>
    </row>
    <row r="198" spans="1:26" ht="12.75">
      <c r="A198" s="393">
        <v>5</v>
      </c>
      <c r="B198" s="111"/>
      <c r="C198" s="390"/>
      <c r="D198" s="390"/>
      <c r="I198" s="425"/>
      <c r="J198" s="408"/>
      <c r="K198" s="425"/>
      <c r="L198" s="425">
        <f t="shared" si="43"/>
        <v>0</v>
      </c>
      <c r="M198" s="467"/>
      <c r="N198" s="467"/>
      <c r="O198" s="467"/>
      <c r="P198" s="467"/>
      <c r="Q198" s="467"/>
      <c r="R198" s="467"/>
      <c r="S198" s="468"/>
      <c r="T198" s="601"/>
      <c r="U198" s="602"/>
      <c r="V198" s="602"/>
      <c r="W198" s="602"/>
      <c r="X198" s="609"/>
      <c r="Y198" s="602"/>
      <c r="Z198" s="603"/>
    </row>
    <row r="199" spans="1:26" ht="12.75">
      <c r="A199" s="393">
        <v>6</v>
      </c>
      <c r="B199" s="111"/>
      <c r="C199" s="390"/>
      <c r="D199" s="390"/>
      <c r="I199" s="425"/>
      <c r="J199" s="408"/>
      <c r="K199" s="425"/>
      <c r="L199" s="425">
        <f t="shared" si="43"/>
        <v>0</v>
      </c>
      <c r="M199" s="467"/>
      <c r="N199" s="467"/>
      <c r="O199" s="467"/>
      <c r="P199" s="467"/>
      <c r="Q199" s="467"/>
      <c r="R199" s="467"/>
      <c r="S199" s="468"/>
      <c r="T199" s="601"/>
      <c r="U199" s="602"/>
      <c r="V199" s="602"/>
      <c r="W199" s="602"/>
      <c r="X199" s="609"/>
      <c r="Y199" s="602"/>
      <c r="Z199" s="603"/>
    </row>
    <row r="200" spans="1:26" ht="13.5" thickBot="1">
      <c r="A200" s="394"/>
      <c r="B200" s="111"/>
      <c r="C200" s="390"/>
      <c r="D200" s="390"/>
      <c r="I200" s="425"/>
      <c r="J200" s="408"/>
      <c r="K200" s="425"/>
      <c r="L200" s="425">
        <f t="shared" si="43"/>
        <v>0</v>
      </c>
      <c r="M200" s="467"/>
      <c r="N200" s="467"/>
      <c r="O200" s="467"/>
      <c r="P200" s="467"/>
      <c r="Q200" s="467"/>
      <c r="R200" s="467"/>
      <c r="S200" s="468"/>
      <c r="T200" s="601"/>
      <c r="U200" s="602"/>
      <c r="V200" s="602"/>
      <c r="W200" s="602"/>
      <c r="X200" s="609"/>
      <c r="Y200" s="602"/>
      <c r="Z200" s="603"/>
    </row>
    <row r="201" spans="1:26" ht="13.5" thickBot="1">
      <c r="A201" s="389"/>
      <c r="B201" s="388" t="s">
        <v>1</v>
      </c>
      <c r="C201" s="398"/>
      <c r="D201" s="398"/>
      <c r="E201" s="398"/>
      <c r="F201" s="398"/>
      <c r="G201" s="398"/>
      <c r="H201" s="428"/>
      <c r="I201" s="381">
        <f>I58+I91+I110+I151+I171+I193</f>
        <v>0</v>
      </c>
      <c r="J201" s="381">
        <f>J58+J91+J110+J151+J171+J193</f>
        <v>0</v>
      </c>
      <c r="K201" s="381"/>
      <c r="L201" s="434">
        <f>L58+L91+L110+L151+L171+L193</f>
        <v>0</v>
      </c>
      <c r="M201" s="474">
        <f>M58+M91+M110+M151+M171+M193</f>
        <v>186.66666666666663</v>
      </c>
      <c r="N201" s="474">
        <f>N58+N91+N110+N151+N171+N193</f>
        <v>0</v>
      </c>
      <c r="O201" s="474">
        <f>O58+O91+O110+O151+O171+O193</f>
        <v>147.64285714285714</v>
      </c>
      <c r="P201" s="474">
        <f>P58+P91+P110+P151+P171+P193</f>
        <v>0</v>
      </c>
      <c r="Q201" s="474"/>
      <c r="R201" s="493"/>
      <c r="S201" s="618">
        <f>S58+S91+S110+S151+S171+S193</f>
        <v>0</v>
      </c>
      <c r="T201" s="619">
        <f aca="true" t="shared" si="44" ref="T201:Z201">SUM(T58:T200)</f>
        <v>0</v>
      </c>
      <c r="U201" s="619">
        <f t="shared" si="44"/>
        <v>0</v>
      </c>
      <c r="V201" s="619">
        <f t="shared" si="44"/>
        <v>0</v>
      </c>
      <c r="W201" s="619">
        <f t="shared" si="44"/>
        <v>0</v>
      </c>
      <c r="X201" s="619">
        <f t="shared" si="44"/>
        <v>0</v>
      </c>
      <c r="Y201" s="619">
        <f t="shared" si="44"/>
        <v>0</v>
      </c>
      <c r="Z201" s="619">
        <f t="shared" si="44"/>
        <v>0</v>
      </c>
    </row>
    <row r="202" spans="14:27" ht="13.5" thickBot="1">
      <c r="N202" s="436" t="e">
        <f>N201/L201</f>
        <v>#DIV/0!</v>
      </c>
      <c r="O202" s="591"/>
      <c r="P202" s="436" t="e">
        <f>P201/L201</f>
        <v>#DIV/0!</v>
      </c>
      <c r="S202" s="606">
        <f>(-0.0002173*S201*S201)+(0.0662*S201)-0.00004758</f>
        <v>-4.758E-05</v>
      </c>
      <c r="T202" s="413" t="e">
        <f aca="true" t="shared" si="45" ref="T202:Z202">(T201/$S$201)*100</f>
        <v>#DIV/0!</v>
      </c>
      <c r="U202" s="414" t="e">
        <f t="shared" si="45"/>
        <v>#DIV/0!</v>
      </c>
      <c r="V202" s="414" t="e">
        <f t="shared" si="45"/>
        <v>#DIV/0!</v>
      </c>
      <c r="W202" s="414" t="e">
        <f t="shared" si="45"/>
        <v>#DIV/0!</v>
      </c>
      <c r="X202" s="414" t="e">
        <f t="shared" si="45"/>
        <v>#DIV/0!</v>
      </c>
      <c r="Y202" s="414" t="e">
        <f t="shared" si="45"/>
        <v>#DIV/0!</v>
      </c>
      <c r="Z202" s="620" t="e">
        <f t="shared" si="45"/>
        <v>#DIV/0!</v>
      </c>
      <c r="AA202" s="368" t="s">
        <v>134</v>
      </c>
    </row>
    <row r="203" spans="4:26" ht="12.75">
      <c r="D203" s="435"/>
      <c r="E203" s="476"/>
      <c r="F203" s="477"/>
      <c r="G203" s="476"/>
      <c r="H203" s="477"/>
      <c r="I203" s="435"/>
      <c r="J203" s="435"/>
      <c r="K203" s="435"/>
      <c r="L203" s="435"/>
      <c r="M203" s="435"/>
      <c r="N203" s="129" t="s">
        <v>136</v>
      </c>
      <c r="O203" s="129"/>
      <c r="P203" s="129" t="s">
        <v>137</v>
      </c>
      <c r="S203" s="505" t="s">
        <v>135</v>
      </c>
      <c r="T203" s="505" t="s">
        <v>128</v>
      </c>
      <c r="U203" s="505" t="s">
        <v>129</v>
      </c>
      <c r="V203" s="505" t="s">
        <v>130</v>
      </c>
      <c r="W203" s="505" t="s">
        <v>131</v>
      </c>
      <c r="X203" s="505" t="s">
        <v>132</v>
      </c>
      <c r="Y203" s="505" t="s">
        <v>133</v>
      </c>
      <c r="Z203" s="505" t="s">
        <v>28</v>
      </c>
    </row>
  </sheetData>
  <mergeCells count="6">
    <mergeCell ref="I56:J56"/>
    <mergeCell ref="T56:Z56"/>
    <mergeCell ref="M56:N56"/>
    <mergeCell ref="O56:P56"/>
    <mergeCell ref="Q56:S56"/>
    <mergeCell ref="K56:L56"/>
  </mergeCells>
  <printOptions/>
  <pageMargins left="0.75" right="0.75" top="1" bottom="1" header="0" footer="0"/>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c:creator>
  <cp:keywords/>
  <dc:description/>
  <cp:lastModifiedBy>Pablo</cp:lastModifiedBy>
  <dcterms:created xsi:type="dcterms:W3CDTF">2009-01-23T17:25:36Z</dcterms:created>
  <dcterms:modified xsi:type="dcterms:W3CDTF">2009-02-26T17:34:02Z</dcterms:modified>
  <cp:category/>
  <cp:version/>
  <cp:contentType/>
  <cp:contentStatus/>
</cp:coreProperties>
</file>